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8400" windowHeight="6720" tabRatio="895" firstSheet="5" activeTab="5"/>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3a-Výnosy-pôv" sheetId="158" r:id="rId9"/>
    <sheet name="T4-Výnosy zo školného" sheetId="154" r:id="rId10"/>
    <sheet name="T5 - Analýza nákladov" sheetId="150" r:id="rId11"/>
    <sheet name="T5a - Náklady-pôv " sheetId="159" r:id="rId12"/>
    <sheet name="T6-Zamestnanci_a_mzdy" sheetId="76" r:id="rId13"/>
    <sheet name="T6a-Zamestnanci_a_mzdy (ženy)" sheetId="155" r:id="rId14"/>
    <sheet name="T7_Doktorandi " sheetId="141" r:id="rId15"/>
    <sheet name="T8-Soc_štipendiá" sheetId="109" r:id="rId16"/>
    <sheet name="T9_ŠD " sheetId="116" r:id="rId17"/>
    <sheet name="T10-ŠJ" sheetId="163" r:id="rId18"/>
    <sheet name="T11-Zdroje KV" sheetId="90" r:id="rId19"/>
    <sheet name="T12-KV" sheetId="91" r:id="rId20"/>
    <sheet name="T13-Fondy" sheetId="145" r:id="rId21"/>
    <sheet name="T16 - Štruktúra hotovosti" sheetId="64" r:id="rId22"/>
    <sheet name="T17-Dotácie zo ŠF EU" sheetId="149" r:id="rId23"/>
    <sheet name="T18-Ostatné dotacie z kap MŠ SR" sheetId="61" r:id="rId24"/>
    <sheet name="T19-Štip_ z vlastných " sheetId="144" r:id="rId25"/>
    <sheet name="T20_motivačné štipendiá_nová" sheetId="157" r:id="rId26"/>
    <sheet name="T21-štruktúra_384" sheetId="97" r:id="rId27"/>
    <sheet name="T22_Výnosy_soc_oblasť" sheetId="133" r:id="rId28"/>
    <sheet name="T23_Náklady_soc_oblasť" sheetId="134" r:id="rId29"/>
    <sheet name="T24a_Aktíva_1" sheetId="137" r:id="rId30"/>
    <sheet name="T24b_Aktíva_2" sheetId="138" r:id="rId31"/>
    <sheet name="T25_Pasíva " sheetId="139" r:id="rId32"/>
    <sheet name="T24__Aktíva" sheetId="135" state="hidden" r:id="rId33"/>
    <sheet name="Hárok1" sheetId="160" r:id="rId34"/>
  </sheets>
  <externalReferences>
    <externalReference r:id="rId35"/>
    <externalReference r:id="rId36"/>
    <externalReference r:id="rId37"/>
  </externalReferences>
  <definedNames>
    <definedName name="_______kmp1">#REF!</definedName>
    <definedName name="_______kmt1">#REF!</definedName>
    <definedName name="______kmp1">#REF!</definedName>
    <definedName name="______kmp2">#REF!</definedName>
    <definedName name="______kmt1">#REF!</definedName>
    <definedName name="______T1">#REF!</definedName>
    <definedName name="______wd1">[1]vahy!$B$1</definedName>
    <definedName name="______wd3">[1]vahy!$B$3</definedName>
    <definedName name="______we1">[1]vahy!$B$2</definedName>
    <definedName name="______we3">[1]vahy!$B$4</definedName>
    <definedName name="_____kmp2">#REF!</definedName>
    <definedName name="_____T1">#REF!</definedName>
    <definedName name="_____wd1">[1]vahy!$B$1</definedName>
    <definedName name="_____wd3">[1]vahy!$B$3</definedName>
    <definedName name="_____we1">[1]vahy!$B$2</definedName>
    <definedName name="_____we3">[1]vahy!$B$4</definedName>
    <definedName name="____kmp1">#REF!</definedName>
    <definedName name="____kmp2">#REF!</definedName>
    <definedName name="____kmt1">#REF!</definedName>
    <definedName name="____T1">#REF!</definedName>
    <definedName name="____wd1">[1]vahy!$B$1</definedName>
    <definedName name="____wd3">[1]vahy!$B$3</definedName>
    <definedName name="____we1">[1]vahy!$B$2</definedName>
    <definedName name="____we3">[1]vahy!$B$4</definedName>
    <definedName name="___kmp1">#REF!</definedName>
    <definedName name="___kmp2">#REF!</definedName>
    <definedName name="___kmt1">#REF!</definedName>
    <definedName name="___T1">#REF!</definedName>
    <definedName name="___wd1">[1]vahy!$B$1</definedName>
    <definedName name="___wd3">[1]vahy!$B$3</definedName>
    <definedName name="___we1">[1]vahy!$B$2</definedName>
    <definedName name="___we3">[1]vahy!$B$4</definedName>
    <definedName name="__kmp1">#REF!</definedName>
    <definedName name="__kmp2">#REF!</definedName>
    <definedName name="__kmt1">#REF!</definedName>
    <definedName name="__T1">#REF!</definedName>
    <definedName name="__wd1">[1]vahy!$B$1</definedName>
    <definedName name="__wd3">[1]vahy!$B$3</definedName>
    <definedName name="__we1">[1]vahy!$B$2</definedName>
    <definedName name="__we3">[1]vahy!$B$4</definedName>
    <definedName name="_kmp1" localSheetId="10">#REF!</definedName>
    <definedName name="_kmp1" localSheetId="11">#REF!</definedName>
    <definedName name="_kmp1">#REF!</definedName>
    <definedName name="_kmp2">#REF!</definedName>
    <definedName name="_kmt1" localSheetId="10">#REF!</definedName>
    <definedName name="_kmt1" localSheetId="11">#REF!</definedName>
    <definedName name="_kmt1">#REF!</definedName>
    <definedName name="_T1">#REF!</definedName>
    <definedName name="_wd1" localSheetId="25">[1]vahy!$B$1</definedName>
    <definedName name="_wd1">[1]vahy!$B$1</definedName>
    <definedName name="_wd3" localSheetId="25">[1]vahy!$B$3</definedName>
    <definedName name="_wd3">[1]vahy!$B$3</definedName>
    <definedName name="_we1" localSheetId="25">[1]vahy!$B$2</definedName>
    <definedName name="_we1">[1]vahy!$B$2</definedName>
    <definedName name="_we3" localSheetId="25">[1]vahy!$B$4</definedName>
    <definedName name="_we3">[1]vahy!$B$4</definedName>
    <definedName name="aaa" hidden="1">3</definedName>
    <definedName name="denní" localSheetId="10">#REF!</definedName>
    <definedName name="denní" localSheetId="11">#REF!</definedName>
    <definedName name="denní">#REF!</definedName>
    <definedName name="dokpo" localSheetId="10">#REF!</definedName>
    <definedName name="dokpo" localSheetId="11">#REF!</definedName>
    <definedName name="dokpo">#REF!</definedName>
    <definedName name="dokpred" localSheetId="10">#REF!</definedName>
    <definedName name="dokpred" localSheetId="11">#REF!</definedName>
    <definedName name="dokpred">#REF!</definedName>
    <definedName name="druhý" localSheetId="10">#REF!</definedName>
    <definedName name="druhý" localSheetId="11">#REF!</definedName>
    <definedName name="druhý">#REF!</definedName>
    <definedName name="exterdruhý" localSheetId="10">#REF!</definedName>
    <definedName name="exterdruhý" localSheetId="11">#REF!</definedName>
    <definedName name="exterdruhý">#REF!</definedName>
    <definedName name="externeplat" localSheetId="10">#REF!</definedName>
    <definedName name="externeplat" localSheetId="11">#REF!</definedName>
    <definedName name="externeplat">#REF!</definedName>
    <definedName name="exterplat" localSheetId="10">#REF!</definedName>
    <definedName name="exterplat" localSheetId="11">#REF!</definedName>
    <definedName name="exterplat">#REF!</definedName>
    <definedName name="KKS_doc" localSheetId="10">#REF!</definedName>
    <definedName name="KKS_doc" localSheetId="11">#REF!</definedName>
    <definedName name="KKS_doc">#REF!</definedName>
    <definedName name="KKS_ost" localSheetId="10">#REF!</definedName>
    <definedName name="KKS_ost" localSheetId="11">#REF!</definedName>
    <definedName name="KKS_ost">#REF!</definedName>
    <definedName name="KKS_phd" localSheetId="10">#REF!</definedName>
    <definedName name="KKS_phd" localSheetId="11">#REF!</definedName>
    <definedName name="KKS_phd">#REF!</definedName>
    <definedName name="KKS_prof" localSheetId="10">#REF!</definedName>
    <definedName name="KKS_prof" localSheetId="11">#REF!</definedName>
    <definedName name="KKS_prof">#REF!</definedName>
    <definedName name="koef_gm_mzdy" localSheetId="10">#REF!</definedName>
    <definedName name="koef_gm_mzdy" localSheetId="11">#REF!</definedName>
    <definedName name="koef_gm_mzdy">#REF!</definedName>
    <definedName name="koef_kpn" localSheetId="10">#REF!</definedName>
    <definedName name="koef_kpn" localSheetId="11">#REF!</definedName>
    <definedName name="koef_kpn">#REF!</definedName>
    <definedName name="koef_prer_nad_gm_mzdy" localSheetId="10">#REF!</definedName>
    <definedName name="koef_prer_nad_gm_mzdy" localSheetId="11">#REF!</definedName>
    <definedName name="koef_prer_nad_gm_mzdy">#REF!</definedName>
    <definedName name="koef_PV" localSheetId="10">#REF!</definedName>
    <definedName name="koef_PV" localSheetId="11">#REF!</definedName>
    <definedName name="koef_PV">#REF!</definedName>
    <definedName name="koef_udr_kat1" localSheetId="22">#REF!</definedName>
    <definedName name="koef_udr_kat1" localSheetId="8">#REF!</definedName>
    <definedName name="koef_udr_kat1" localSheetId="10">#REF!</definedName>
    <definedName name="koef_udr_kat1" localSheetId="11">#REF!</definedName>
    <definedName name="koef_udr_kat1" localSheetId="13">#REF!</definedName>
    <definedName name="koef_udr_kat1">#REF!</definedName>
    <definedName name="koef_udr_kat2" localSheetId="22">#REF!</definedName>
    <definedName name="koef_udr_kat2" localSheetId="8">#REF!</definedName>
    <definedName name="koef_udr_kat2" localSheetId="10">#REF!</definedName>
    <definedName name="koef_udr_kat2" localSheetId="11">#REF!</definedName>
    <definedName name="koef_udr_kat2" localSheetId="13">#REF!</definedName>
    <definedName name="koef_udr_kat2">#REF!</definedName>
    <definedName name="koef_udr_kat3" localSheetId="22">#REF!</definedName>
    <definedName name="koef_udr_kat3" localSheetId="8">#REF!</definedName>
    <definedName name="koef_udr_kat3" localSheetId="10">#REF!</definedName>
    <definedName name="koef_udr_kat3" localSheetId="11">#REF!</definedName>
    <definedName name="koef_udr_kat3" localSheetId="13">#REF!</definedName>
    <definedName name="koef_udr_kat3">#REF!</definedName>
    <definedName name="koef_VV" localSheetId="10">#REF!</definedName>
    <definedName name="koef_VV" localSheetId="11">#REF!</definedName>
    <definedName name="koef_VV">#REF!</definedName>
    <definedName name="kpn_ca_do" localSheetId="10">#REF!</definedName>
    <definedName name="kpn_ca_do" localSheetId="11">#REF!</definedName>
    <definedName name="kpn_ca_do">#REF!</definedName>
    <definedName name="kpn_ca_nad" localSheetId="10">#REF!</definedName>
    <definedName name="kpn_ca_nad" localSheetId="11">#REF!</definedName>
    <definedName name="kpn_ca_nad">#REF!</definedName>
    <definedName name="kzk" localSheetId="10">#REF!</definedName>
    <definedName name="kzk" localSheetId="11">#REF!</definedName>
    <definedName name="kzk">#REF!</definedName>
    <definedName name="kzspp" localSheetId="10">#REF!</definedName>
    <definedName name="kzspp" localSheetId="11">#REF!</definedName>
    <definedName name="kzspp">#REF!</definedName>
    <definedName name="nefinanc">1</definedName>
    <definedName name="_xlnm.Print_Area" localSheetId="3">Súvzťažnosti!$A$1:$C$43</definedName>
    <definedName name="_xlnm.Print_Area" localSheetId="18">'T11-Zdroje KV'!$A$1:$D$23</definedName>
    <definedName name="_xlnm.Print_Area" localSheetId="19">'T12-KV'!$A$1:$I$22</definedName>
    <definedName name="_xlnm.Print_Area" localSheetId="20">'T13-Fondy'!$A$1:$N$24</definedName>
    <definedName name="_xlnm.Print_Area" localSheetId="21">'T16 - Štruktúra hotovosti'!$A$1:$D$22</definedName>
    <definedName name="_xlnm.Print_Area" localSheetId="22">'T17-Dotácie zo ŠF EU'!$A$1:$H$16</definedName>
    <definedName name="_xlnm.Print_Area" localSheetId="23">'T18-Ostatné dotacie z kap MŠ SR'!$A$1:$E$18</definedName>
    <definedName name="_xlnm.Print_Area" localSheetId="24">'T19-Štip_ z vlastných '!$A$1:$F$23</definedName>
    <definedName name="_xlnm.Print_Area" localSheetId="5">'T1-Dotácie podľa DZ'!$A$1:$E$19</definedName>
    <definedName name="_xlnm.Print_Area" localSheetId="25">'T20_motivačné štipendiá_nová'!$A$1:$E$14</definedName>
    <definedName name="_xlnm.Print_Area" localSheetId="26">'T21-štruktúra_384'!$A$1:$M$6</definedName>
    <definedName name="_xlnm.Print_Area" localSheetId="27">T22_Výnosy_soc_oblasť!$A$1:$F$43</definedName>
    <definedName name="_xlnm.Print_Area" localSheetId="28">T23_Náklady_soc_oblasť!$A$1:$F$41</definedName>
    <definedName name="_xlnm.Print_Area" localSheetId="29">T24a_Aktíva_1!$A$1:$G$33</definedName>
    <definedName name="_xlnm.Print_Area" localSheetId="30">T24b_Aktíva_2!$A$1:$G$37</definedName>
    <definedName name="_xlnm.Print_Area" localSheetId="31">'T25_Pasíva '!$A$1:$G$49</definedName>
    <definedName name="_xlnm.Print_Area" localSheetId="8">'T3a-Výnosy-pôv'!$A$1:$H$45</definedName>
    <definedName name="_xlnm.Print_Area" localSheetId="7">'T3-Výnosy'!$A$1:$H$62</definedName>
    <definedName name="_xlnm.Print_Area" localSheetId="9">'T4-Výnosy zo školného'!$A$1:$E$23</definedName>
    <definedName name="_xlnm.Print_Area" localSheetId="10">'T5 - Analýza nákladov'!$A$1:$H$106</definedName>
    <definedName name="_xlnm.Print_Area" localSheetId="11">'T5a - Náklady-pôv '!$A$1:$H$43</definedName>
    <definedName name="_xlnm.Print_Area" localSheetId="13">'T6a-Zamestnanci_a_mzdy (ženy)'!$A$1:$L$37</definedName>
    <definedName name="_xlnm.Print_Area" localSheetId="12">'T6-Zamestnanci_a_mzdy'!$A$1:$K$37</definedName>
    <definedName name="_xlnm.Print_Area" localSheetId="14">'T7_Doktorandi '!$A$1:$G$21</definedName>
    <definedName name="_xlnm.Print_Area" localSheetId="15">'T8-Soc_štipendiá'!$A$1:$F$15</definedName>
    <definedName name="_xlnm.Print_Area" localSheetId="16">'T9_ŠD '!$A$1:$F$21</definedName>
    <definedName name="_xlnm.Print_Area" localSheetId="2">Vysvetlivky!$A$1:$B$103</definedName>
    <definedName name="pocet_jedal" localSheetId="22">#REF!</definedName>
    <definedName name="pocet_jedal" localSheetId="8">#REF!</definedName>
    <definedName name="pocet_jedal" localSheetId="10">#REF!</definedName>
    <definedName name="pocet_jedal" localSheetId="11">#REF!</definedName>
    <definedName name="pocet_jedal" localSheetId="13">#REF!</definedName>
    <definedName name="pocet_jedal">#REF!</definedName>
    <definedName name="podiel" localSheetId="10">#REF!</definedName>
    <definedName name="podiel" localSheetId="11">#REF!</definedName>
    <definedName name="podiel">#REF!</definedName>
    <definedName name="poistné" localSheetId="10">#REF!</definedName>
    <definedName name="poistné" localSheetId="11">#REF!</definedName>
    <definedName name="poistné">#REF!</definedName>
    <definedName name="Pp_DrŠ_exist" localSheetId="22">#REF!</definedName>
    <definedName name="Pp_DrŠ_exist" localSheetId="8">#REF!</definedName>
    <definedName name="Pp_DrŠ_exist" localSheetId="10">#REF!</definedName>
    <definedName name="Pp_DrŠ_exist" localSheetId="11">#REF!</definedName>
    <definedName name="Pp_DrŠ_exist" localSheetId="13">#REF!</definedName>
    <definedName name="Pp_DrŠ_exist">#REF!</definedName>
    <definedName name="Pp_DrŠ_noví" localSheetId="22">#REF!</definedName>
    <definedName name="Pp_DrŠ_noví" localSheetId="8">#REF!</definedName>
    <definedName name="Pp_DrŠ_noví" localSheetId="10">#REF!</definedName>
    <definedName name="Pp_DrŠ_noví" localSheetId="11">#REF!</definedName>
    <definedName name="Pp_DrŠ_noví" localSheetId="13">#REF!</definedName>
    <definedName name="Pp_DrŠ_noví">#REF!</definedName>
    <definedName name="Pp_DrŠ_spolu" localSheetId="22">#REF!</definedName>
    <definedName name="Pp_DrŠ_spolu" localSheetId="8">#REF!</definedName>
    <definedName name="Pp_DrŠ_spolu" localSheetId="10">#REF!</definedName>
    <definedName name="Pp_DrŠ_spolu" localSheetId="11">#REF!</definedName>
    <definedName name="Pp_DrŠ_spolu" localSheetId="13">#REF!</definedName>
    <definedName name="Pp_DrŠ_spolu">#REF!</definedName>
    <definedName name="Pp_klinické_TaS" localSheetId="22">#REF!</definedName>
    <definedName name="Pp_klinické_TaS" localSheetId="8">#REF!</definedName>
    <definedName name="Pp_klinické_TaS" localSheetId="10">#REF!</definedName>
    <definedName name="Pp_klinické_TaS" localSheetId="11">#REF!</definedName>
    <definedName name="Pp_klinické_TaS" localSheetId="13">#REF!</definedName>
    <definedName name="Pp_klinické_TaS">#REF!</definedName>
    <definedName name="Pp_klinické_TaS_rozpísaný" localSheetId="22">#REF!</definedName>
    <definedName name="Pp_klinické_TaS_rozpísaný" localSheetId="8">#REF!</definedName>
    <definedName name="Pp_klinické_TaS_rozpísaný" localSheetId="10">#REF!</definedName>
    <definedName name="Pp_klinické_TaS_rozpísaný" localSheetId="11">#REF!</definedName>
    <definedName name="Pp_klinické_TaS_rozpísaný" localSheetId="13">#REF!</definedName>
    <definedName name="Pp_klinické_TaS_rozpísaný">#REF!</definedName>
    <definedName name="Pp_Rozvoj_BD" localSheetId="10">#REF!</definedName>
    <definedName name="Pp_Rozvoj_BD" localSheetId="11">#REF!</definedName>
    <definedName name="Pp_Rozvoj_BD">#REF!</definedName>
    <definedName name="Pp_Soc_BD" localSheetId="10">#REF!</definedName>
    <definedName name="Pp_Soc_BD" localSheetId="11">#REF!</definedName>
    <definedName name="Pp_Soc_BD">#REF!</definedName>
    <definedName name="Pp_VaT_BD" localSheetId="10">#REF!</definedName>
    <definedName name="Pp_VaT_BD" localSheetId="11">#REF!</definedName>
    <definedName name="Pp_VaT_BD">#REF!</definedName>
    <definedName name="Pp_VaT_mzdy" localSheetId="10">#REF!</definedName>
    <definedName name="Pp_VaT_mzdy" localSheetId="11">#REF!</definedName>
    <definedName name="Pp_VaT_mzdy">#REF!</definedName>
    <definedName name="Pp_VaT_mzdy_rezerva" localSheetId="10">#REF!</definedName>
    <definedName name="Pp_VaT_mzdy_rezerva" localSheetId="11">#REF!</definedName>
    <definedName name="Pp_VaT_mzdy_rezerva">#REF!</definedName>
    <definedName name="Pp_VaT_mzdy_zac_roka" localSheetId="10">#REF!</definedName>
    <definedName name="Pp_VaT_mzdy_zac_roka" localSheetId="11">#REF!</definedName>
    <definedName name="Pp_VaT_mzdy_zac_roka">#REF!</definedName>
    <definedName name="Pp_Vzdel_BD" localSheetId="10">#REF!</definedName>
    <definedName name="Pp_Vzdel_BD" localSheetId="11">#REF!</definedName>
    <definedName name="Pp_Vzdel_BD">#REF!</definedName>
    <definedName name="Pp_Vzdel_mzdy" localSheetId="10">#REF!</definedName>
    <definedName name="Pp_Vzdel_mzdy" localSheetId="11">#REF!</definedName>
    <definedName name="Pp_Vzdel_mzdy">#REF!</definedName>
    <definedName name="Pp_Vzdel_mzdy_kontr" localSheetId="10">#REF!</definedName>
    <definedName name="Pp_Vzdel_mzdy_kontr" localSheetId="11">#REF!</definedName>
    <definedName name="Pp_Vzdel_mzdy_kontr">#REF!</definedName>
    <definedName name="Pp_Vzdel_mzdy_na_prer_modif" localSheetId="22">#REF!</definedName>
    <definedName name="Pp_Vzdel_mzdy_na_prer_modif" localSheetId="8">#REF!</definedName>
    <definedName name="Pp_Vzdel_mzdy_na_prer_modif" localSheetId="10">#REF!</definedName>
    <definedName name="Pp_Vzdel_mzdy_na_prer_modif" localSheetId="11">#REF!</definedName>
    <definedName name="Pp_Vzdel_mzdy_na_prer_modif" localSheetId="13">#REF!</definedName>
    <definedName name="Pp_Vzdel_mzdy_na_prer_modif">#REF!</definedName>
    <definedName name="Pp_Vzdel_mzdy_na_prer_nemodif" localSheetId="22">#REF!</definedName>
    <definedName name="Pp_Vzdel_mzdy_na_prer_nemodif" localSheetId="8">#REF!</definedName>
    <definedName name="Pp_Vzdel_mzdy_na_prer_nemodif" localSheetId="10">#REF!</definedName>
    <definedName name="Pp_Vzdel_mzdy_na_prer_nemodif" localSheetId="11">#REF!</definedName>
    <definedName name="Pp_Vzdel_mzdy_na_prer_nemodif" localSheetId="13">#REF!</definedName>
    <definedName name="Pp_Vzdel_mzdy_na_prer_nemodif">#REF!</definedName>
    <definedName name="Pp_Vzdel_mzdy_prevádz" localSheetId="10">#REF!</definedName>
    <definedName name="Pp_Vzdel_mzdy_prevádz" localSheetId="11">#REF!</definedName>
    <definedName name="Pp_Vzdel_mzdy_prevádz">#REF!</definedName>
    <definedName name="Pp_Vzdel_mzdy_rezerva" localSheetId="10">#REF!</definedName>
    <definedName name="Pp_Vzdel_mzdy_rezerva" localSheetId="11">#REF!</definedName>
    <definedName name="Pp_Vzdel_mzdy_rezerva">#REF!</definedName>
    <definedName name="Pp_Vzdel_mzdy_spec" localSheetId="10">#REF!</definedName>
    <definedName name="Pp_Vzdel_mzdy_spec" localSheetId="11">#REF!</definedName>
    <definedName name="Pp_Vzdel_mzdy_spec">#REF!</definedName>
    <definedName name="Pp_Vzdel_mzdy_výkon" localSheetId="10">#REF!</definedName>
    <definedName name="Pp_Vzdel_mzdy_výkon" localSheetId="11">#REF!</definedName>
    <definedName name="Pp_Vzdel_mzdy_výkon">#REF!</definedName>
    <definedName name="Pp_Vzdel_mzdy_výkon_PV" localSheetId="10">#REF!</definedName>
    <definedName name="Pp_Vzdel_mzdy_výkon_PV" localSheetId="11">#REF!</definedName>
    <definedName name="Pp_Vzdel_mzdy_výkon_PV">#REF!</definedName>
    <definedName name="Pp_Vzdel_mzdy_výkon_PV_bez" localSheetId="10">#REF!</definedName>
    <definedName name="Pp_Vzdel_mzdy_výkon_PV_bez" localSheetId="11">#REF!</definedName>
    <definedName name="Pp_Vzdel_mzdy_výkon_PV_bez">#REF!</definedName>
    <definedName name="Pp_Vzdel_mzdy_výkon_PV_um" localSheetId="10">#REF!</definedName>
    <definedName name="Pp_Vzdel_mzdy_výkon_PV_um" localSheetId="11">#REF!</definedName>
    <definedName name="Pp_Vzdel_mzdy_výkon_PV_um">#REF!</definedName>
    <definedName name="Pp_Vzdel_mzdy_výkon_VV" localSheetId="10">#REF!</definedName>
    <definedName name="Pp_Vzdel_mzdy_výkon_VV" localSheetId="11">#REF!</definedName>
    <definedName name="Pp_Vzdel_mzdy_výkon_VV">#REF!</definedName>
    <definedName name="Pp_Vzdel_mzdy_výkon_VV_bez" localSheetId="10">#REF!</definedName>
    <definedName name="Pp_Vzdel_mzdy_výkon_VV_bez" localSheetId="11">#REF!</definedName>
    <definedName name="Pp_Vzdel_mzdy_výkon_VV_bez">#REF!</definedName>
    <definedName name="Pp_Vzdel_mzdy_výkon_VV_um" localSheetId="10">#REF!</definedName>
    <definedName name="Pp_Vzdel_mzdy_výkon_VV_um" localSheetId="11">#REF!</definedName>
    <definedName name="Pp_Vzdel_mzdy_výkon_VV_um">#REF!</definedName>
    <definedName name="Pp_Vzdel_spec_prax" localSheetId="22">#REF!</definedName>
    <definedName name="Pp_Vzdel_spec_prax" localSheetId="8">#REF!</definedName>
    <definedName name="Pp_Vzdel_spec_prax" localSheetId="10">#REF!</definedName>
    <definedName name="Pp_Vzdel_spec_prax" localSheetId="11">#REF!</definedName>
    <definedName name="Pp_Vzdel_spec_prax" localSheetId="13">#REF!</definedName>
    <definedName name="Pp_Vzdel_spec_prax">#REF!</definedName>
    <definedName name="Pp_Vzdel_TaS" localSheetId="10">#REF!</definedName>
    <definedName name="Pp_Vzdel_TaS" localSheetId="11">#REF!</definedName>
    <definedName name="Pp_Vzdel_TaS">#REF!</definedName>
    <definedName name="Pp_Vzdel_TaS_rezerva" localSheetId="10">#REF!</definedName>
    <definedName name="Pp_Vzdel_TaS_rezerva" localSheetId="11">#REF!</definedName>
    <definedName name="Pp_Vzdel_TaS_rezerva">#REF!</definedName>
    <definedName name="Pp_Vzdel_TaS_spec" localSheetId="22">#REF!</definedName>
    <definedName name="Pp_Vzdel_TaS_spec" localSheetId="8">#REF!</definedName>
    <definedName name="Pp_Vzdel_TaS_spec" localSheetId="10">#REF!</definedName>
    <definedName name="Pp_Vzdel_TaS_spec" localSheetId="11">#REF!</definedName>
    <definedName name="Pp_Vzdel_TaS_spec" localSheetId="13">#REF!</definedName>
    <definedName name="Pp_Vzdel_TaS_spec">#REF!</definedName>
    <definedName name="Pp_Vzdel_TaS_stav" localSheetId="10">#REF!</definedName>
    <definedName name="Pp_Vzdel_TaS_stav" localSheetId="11">#REF!</definedName>
    <definedName name="Pp_Vzdel_TaS_stav">#REF!</definedName>
    <definedName name="Pp_Vzdel_TaS_výkon" localSheetId="22">#REF!</definedName>
    <definedName name="Pp_Vzdel_TaS_výkon" localSheetId="8">#REF!</definedName>
    <definedName name="Pp_Vzdel_TaS_výkon" localSheetId="10">#REF!</definedName>
    <definedName name="Pp_Vzdel_TaS_výkon" localSheetId="11">#REF!</definedName>
    <definedName name="Pp_Vzdel_TaS_výkon" localSheetId="13">#REF!</definedName>
    <definedName name="Pp_Vzdel_TaS_výkon">#REF!</definedName>
    <definedName name="Pp_Vzdel_TaS_výkon_PPŠ" localSheetId="22">#REF!</definedName>
    <definedName name="Pp_Vzdel_TaS_výkon_PPŠ" localSheetId="8">#REF!</definedName>
    <definedName name="Pp_Vzdel_TaS_výkon_PPŠ" localSheetId="10">#REF!</definedName>
    <definedName name="Pp_Vzdel_TaS_výkon_PPŠ" localSheetId="11">#REF!</definedName>
    <definedName name="Pp_Vzdel_TaS_výkon_PPŠ" localSheetId="13">#REF!</definedName>
    <definedName name="Pp_Vzdel_TaS_výkon_PPŠ">#REF!</definedName>
    <definedName name="Pp_Vzdel_TaS_výkon_PPŠ_a_zákl" localSheetId="22">#REF!</definedName>
    <definedName name="Pp_Vzdel_TaS_výkon_PPŠ_a_zákl" localSheetId="8">#REF!</definedName>
    <definedName name="Pp_Vzdel_TaS_výkon_PPŠ_a_zákl" localSheetId="10">#REF!</definedName>
    <definedName name="Pp_Vzdel_TaS_výkon_PPŠ_a_zákl" localSheetId="11">#REF!</definedName>
    <definedName name="Pp_Vzdel_TaS_výkon_PPŠ_a_zákl" localSheetId="13">#REF!</definedName>
    <definedName name="Pp_Vzdel_TaS_výkon_PPŠ_a_zákl">#REF!</definedName>
    <definedName name="Pp_Vzdel_TaS_výkon_PPŠ_KEN" localSheetId="22">#REF!</definedName>
    <definedName name="Pp_Vzdel_TaS_výkon_PPŠ_KEN" localSheetId="8">#REF!</definedName>
    <definedName name="Pp_Vzdel_TaS_výkon_PPŠ_KEN" localSheetId="10">#REF!</definedName>
    <definedName name="Pp_Vzdel_TaS_výkon_PPŠ_KEN" localSheetId="11">#REF!</definedName>
    <definedName name="Pp_Vzdel_TaS_výkon_PPŠ_KEN" localSheetId="13">#REF!</definedName>
    <definedName name="Pp_Vzdel_TaS_výkon_PPŠ_KEN">#REF!</definedName>
    <definedName name="Pp_Vzdel_TaS_zahr_granty" localSheetId="10">#REF!</definedName>
    <definedName name="Pp_Vzdel_TaS_zahr_granty" localSheetId="11">#REF!</definedName>
    <definedName name="Pp_Vzdel_TaS_zahr_granty">#REF!</definedName>
    <definedName name="Pp_Vzdel_TaS_zákl" localSheetId="22">#REF!</definedName>
    <definedName name="Pp_Vzdel_TaS_zákl" localSheetId="8">#REF!</definedName>
    <definedName name="Pp_Vzdel_TaS_zákl" localSheetId="10">#REF!</definedName>
    <definedName name="Pp_Vzdel_TaS_zákl" localSheetId="11">#REF!</definedName>
    <definedName name="Pp_Vzdel_TaS_zákl" localSheetId="13">#REF!</definedName>
    <definedName name="Pp_Vzdel_TaS_zákl">#REF!</definedName>
    <definedName name="Pr_AV_BD" localSheetId="10">#REF!</definedName>
    <definedName name="Pr_AV_BD" localSheetId="11">#REF!</definedName>
    <definedName name="Pr_AV_BD">#REF!</definedName>
    <definedName name="Pr_IV_BD" localSheetId="10">#REF!</definedName>
    <definedName name="Pr_IV_BD" localSheetId="11">#REF!</definedName>
    <definedName name="Pr_IV_BD">#REF!</definedName>
    <definedName name="Pr_IV_KV" localSheetId="10">#REF!</definedName>
    <definedName name="Pr_IV_KV" localSheetId="11">#REF!</definedName>
    <definedName name="Pr_IV_KV">#REF!</definedName>
    <definedName name="Pr_IV_KV_rezerva" localSheetId="10">#REF!</definedName>
    <definedName name="Pr_IV_KV_rezerva" localSheetId="11">#REF!</definedName>
    <definedName name="Pr_IV_KV_rezerva">#REF!</definedName>
    <definedName name="Pr_KEGA_BD" localSheetId="10">#REF!</definedName>
    <definedName name="Pr_KEGA_BD" localSheetId="11">#REF!</definedName>
    <definedName name="Pr_KEGA_BD">#REF!</definedName>
    <definedName name="Pr_klinické" localSheetId="10">#REF!</definedName>
    <definedName name="Pr_klinické" localSheetId="11">#REF!</definedName>
    <definedName name="Pr_klinické">#REF!</definedName>
    <definedName name="Pr_KŠ" localSheetId="22">#REF!</definedName>
    <definedName name="Pr_KŠ" localSheetId="8">#REF!</definedName>
    <definedName name="Pr_KŠ" localSheetId="10">#REF!</definedName>
    <definedName name="Pr_KŠ" localSheetId="11">#REF!</definedName>
    <definedName name="Pr_KŠ" localSheetId="13">#REF!</definedName>
    <definedName name="Pr_KŠ">#REF!</definedName>
    <definedName name="Pr_motštip_BD" localSheetId="10">#REF!</definedName>
    <definedName name="Pr_motštip_BD" localSheetId="11">#REF!</definedName>
    <definedName name="Pr_motštip_BD">#REF!</definedName>
    <definedName name="Pr_MVTS_BD" localSheetId="10">#REF!</definedName>
    <definedName name="Pr_MVTS_BD" localSheetId="11">#REF!</definedName>
    <definedName name="Pr_MVTS_BD">#REF!</definedName>
    <definedName name="Pr_socštip_BD" localSheetId="10">#REF!</definedName>
    <definedName name="Pr_socštip_BD" localSheetId="11">#REF!</definedName>
    <definedName name="Pr_socštip_BD">#REF!</definedName>
    <definedName name="Pr_ŠD" localSheetId="22">#REF!</definedName>
    <definedName name="Pr_ŠD" localSheetId="8">#REF!</definedName>
    <definedName name="Pr_ŠD" localSheetId="10">#REF!</definedName>
    <definedName name="Pr_ŠD" localSheetId="11">#REF!</definedName>
    <definedName name="Pr_ŠD" localSheetId="13">#REF!</definedName>
    <definedName name="Pr_ŠD">#REF!</definedName>
    <definedName name="Pr_ŠDaJKŠPC_BD" localSheetId="10">#REF!</definedName>
    <definedName name="Pr_ŠDaJKŠPC_BD" localSheetId="11">#REF!</definedName>
    <definedName name="Pr_ŠDaJKŠPC_BD">#REF!</definedName>
    <definedName name="Pr_VaT_KV_zac_roka" localSheetId="10">#REF!</definedName>
    <definedName name="Pr_VaT_KV_zac_roka" localSheetId="11">#REF!</definedName>
    <definedName name="Pr_VaT_KV_zac_roka">#REF!</definedName>
    <definedName name="Pr_VaT_TaS" localSheetId="10">#REF!</definedName>
    <definedName name="Pr_VaT_TaS" localSheetId="11">#REF!</definedName>
    <definedName name="Pr_VaT_TaS">#REF!</definedName>
    <definedName name="Pr_VaT_TaS_rezerva" localSheetId="10">#REF!</definedName>
    <definedName name="Pr_VaT_TaS_rezerva" localSheetId="11">#REF!</definedName>
    <definedName name="Pr_VaT_TaS_rezerva">#REF!</definedName>
    <definedName name="Pr_VaT_TaS_zac_roka" localSheetId="10">#REF!</definedName>
    <definedName name="Pr_VaT_TaS_zac_roka" localSheetId="11">#REF!</definedName>
    <definedName name="Pr_VaT_TaS_zac_roka">#REF!</definedName>
    <definedName name="Pr_VEGA_BD" localSheetId="10">#REF!</definedName>
    <definedName name="Pr_VEGA_BD" localSheetId="11">#REF!</definedName>
    <definedName name="Pr_VEGA_BD">#REF!</definedName>
    <definedName name="predmety" localSheetId="10">#REF!</definedName>
    <definedName name="predmety" localSheetId="11">#REF!</definedName>
    <definedName name="predmety">#REF!</definedName>
    <definedName name="prisp_na_1_jedlo" localSheetId="22">#REF!</definedName>
    <definedName name="prisp_na_1_jedlo" localSheetId="8">#REF!</definedName>
    <definedName name="prisp_na_1_jedlo" localSheetId="10">#REF!</definedName>
    <definedName name="prisp_na_1_jedlo" localSheetId="11">#REF!</definedName>
    <definedName name="prisp_na_1_jedlo" localSheetId="13">#REF!</definedName>
    <definedName name="prisp_na_1_jedlo">#REF!</definedName>
    <definedName name="prisp_na_ubyt_stud_SD" localSheetId="22">#REF!</definedName>
    <definedName name="prisp_na_ubyt_stud_SD" localSheetId="8">#REF!</definedName>
    <definedName name="prisp_na_ubyt_stud_SD" localSheetId="10">#REF!</definedName>
    <definedName name="prisp_na_ubyt_stud_SD" localSheetId="11">#REF!</definedName>
    <definedName name="prisp_na_ubyt_stud_SD" localSheetId="13">#REF!</definedName>
    <definedName name="prisp_na_ubyt_stud_SD">#REF!</definedName>
    <definedName name="prisp_na_ubyt_stud_ZZ" localSheetId="22">#REF!</definedName>
    <definedName name="prisp_na_ubyt_stud_ZZ" localSheetId="8">#REF!</definedName>
    <definedName name="prisp_na_ubyt_stud_ZZ" localSheetId="10">#REF!</definedName>
    <definedName name="prisp_na_ubyt_stud_ZZ" localSheetId="11">#REF!</definedName>
    <definedName name="prisp_na_ubyt_stud_ZZ" localSheetId="13">#REF!</definedName>
    <definedName name="prisp_na_ubyt_stud_ZZ">#REF!</definedName>
    <definedName name="prísp_zákl_prev" localSheetId="10">#REF!</definedName>
    <definedName name="prísp_zákl_prev" localSheetId="11">#REF!</definedName>
    <definedName name="prísp_zákl_prev">#REF!</definedName>
    <definedName name="R_vvs" localSheetId="10">#REF!</definedName>
    <definedName name="R_vvs" localSheetId="11">#REF!</definedName>
    <definedName name="R_vvs">#REF!</definedName>
    <definedName name="R_vvs_BD" localSheetId="10">#REF!</definedName>
    <definedName name="R_vvs_BD" localSheetId="11">#REF!</definedName>
    <definedName name="R_vvs_BD">#REF!</definedName>
    <definedName name="R_vvs_VaT_BD" localSheetId="10">#REF!</definedName>
    <definedName name="R_vvs_VaT_BD" localSheetId="11">#REF!</definedName>
    <definedName name="R_vvs_VaT_BD">#REF!</definedName>
    <definedName name="Sanet" localSheetId="10">#REF!</definedName>
    <definedName name="Sanet" localSheetId="11">#REF!</definedName>
    <definedName name="Sanet">#REF!</definedName>
    <definedName name="SAPBEXrevision" hidden="1">7</definedName>
    <definedName name="SAPBEXsysID" hidden="1">"BS1"</definedName>
    <definedName name="SAPBEXwbID" hidden="1">"3TG3S316PX9BHXMQEBSXSYZZO"</definedName>
    <definedName name="stavba_ucelova" localSheetId="10">#REF!</definedName>
    <definedName name="stavba_ucelova" localSheetId="11">#REF!</definedName>
    <definedName name="stavba_ucelova">#REF!</definedName>
    <definedName name="studenti_vstup" localSheetId="10">#REF!</definedName>
    <definedName name="studenti_vstup" localSheetId="11">#REF!</definedName>
    <definedName name="studenti_vstup">#REF!</definedName>
    <definedName name="sustava" localSheetId="10">#REF!</definedName>
    <definedName name="sustava" localSheetId="11">#REF!</definedName>
    <definedName name="sustava">#REF!</definedName>
    <definedName name="T_1">#REF!</definedName>
    <definedName name="T_25_so_štip_2007">#REF!</definedName>
    <definedName name="T_M">#REF!</definedName>
    <definedName name="váha_absDrš" localSheetId="10">#REF!</definedName>
    <definedName name="váha_absDrš" localSheetId="11">#REF!</definedName>
    <definedName name="váha_absDrš">#REF!</definedName>
    <definedName name="váha_DG" localSheetId="10">#REF!</definedName>
    <definedName name="váha_DG" localSheetId="11">#REF!</definedName>
    <definedName name="váha_DG">#REF!</definedName>
    <definedName name="váha_poDs" localSheetId="10">#REF!</definedName>
    <definedName name="váha_poDs" localSheetId="11">#REF!</definedName>
    <definedName name="váha_poDs">#REF!</definedName>
    <definedName name="váha_Pub" localSheetId="10">#REF!</definedName>
    <definedName name="váha_Pub" localSheetId="11">#REF!</definedName>
    <definedName name="váha_Pub">#REF!</definedName>
    <definedName name="váha_ZG" localSheetId="10">#REF!</definedName>
    <definedName name="váha_ZG" localSheetId="11">#REF!</definedName>
    <definedName name="váha_ZG">#REF!</definedName>
    <definedName name="výkon_um" localSheetId="10">#REF!</definedName>
    <definedName name="výkon_um" localSheetId="11">#REF!</definedName>
    <definedName name="výkon_um">#REF!</definedName>
    <definedName name="x">#REF!</definedName>
    <definedName name="xxx" hidden="1">"3TGMUFSSIAIMK2KTNC9DELQD0"</definedName>
    <definedName name="zakl_prisp_na_prev_SD" localSheetId="22">#REF!</definedName>
    <definedName name="zakl_prisp_na_prev_SD" localSheetId="8">#REF!</definedName>
    <definedName name="zakl_prisp_na_prev_SD" localSheetId="10">#REF!</definedName>
    <definedName name="zakl_prisp_na_prev_SD" localSheetId="11">#REF!</definedName>
    <definedName name="zakl_prisp_na_prev_SD" localSheetId="13">#REF!</definedName>
    <definedName name="zakl_prisp_na_prev_SD">#REF!</definedName>
    <definedName name="záloha" localSheetId="22">#REF!</definedName>
    <definedName name="záloha" localSheetId="8">#REF!</definedName>
    <definedName name="záloha" localSheetId="10">#REF!</definedName>
    <definedName name="záloha" localSheetId="11">#REF!</definedName>
    <definedName name="záloha" localSheetId="13">#REF!</definedName>
    <definedName name="záloha">#REF!</definedName>
  </definedNames>
  <calcPr calcId="145621"/>
</workbook>
</file>

<file path=xl/calcChain.xml><?xml version="1.0" encoding="utf-8"?>
<calcChain xmlns="http://schemas.openxmlformats.org/spreadsheetml/2006/main">
  <c r="D8" i="157" l="1"/>
  <c r="D20" i="163" l="1"/>
  <c r="D18" i="163"/>
  <c r="D17" i="163"/>
  <c r="D15" i="163"/>
  <c r="D21" i="163" s="1"/>
  <c r="D13" i="163"/>
  <c r="D12" i="163"/>
  <c r="D11" i="163"/>
  <c r="D10" i="163"/>
  <c r="D9" i="163"/>
  <c r="D7" i="163"/>
  <c r="D6" i="163"/>
  <c r="D5" i="163"/>
  <c r="F47" i="159" l="1"/>
  <c r="E47" i="159"/>
  <c r="I13" i="159" l="1"/>
  <c r="L30" i="155" l="1"/>
  <c r="L29" i="155"/>
  <c r="J29" i="155"/>
  <c r="F29" i="155"/>
  <c r="K29" i="155" s="1"/>
  <c r="L28" i="155"/>
  <c r="J28" i="155"/>
  <c r="F28" i="155"/>
  <c r="K28" i="155" s="1"/>
  <c r="F27" i="155"/>
  <c r="L26" i="155"/>
  <c r="J26" i="155"/>
  <c r="F26" i="155"/>
  <c r="K26" i="155" s="1"/>
  <c r="L25" i="155"/>
  <c r="J25" i="155"/>
  <c r="F25" i="155"/>
  <c r="K25" i="155" s="1"/>
  <c r="L24" i="155"/>
  <c r="J24" i="155"/>
  <c r="F24" i="155"/>
  <c r="K24" i="155" s="1"/>
  <c r="L23" i="155"/>
  <c r="J23" i="155"/>
  <c r="F23" i="155"/>
  <c r="K23" i="155" s="1"/>
  <c r="L22" i="155"/>
  <c r="J22" i="155"/>
  <c r="I22" i="155"/>
  <c r="H22" i="155"/>
  <c r="G22" i="155"/>
  <c r="F22" i="155"/>
  <c r="K22" i="155" s="1"/>
  <c r="E22" i="155"/>
  <c r="D22" i="155"/>
  <c r="C22" i="155"/>
  <c r="L21" i="155"/>
  <c r="J21" i="155"/>
  <c r="F21" i="155"/>
  <c r="K21" i="155" s="1"/>
  <c r="L20" i="155"/>
  <c r="J20" i="155"/>
  <c r="F20" i="155"/>
  <c r="K20" i="155" s="1"/>
  <c r="L19" i="155"/>
  <c r="J19" i="155"/>
  <c r="F19" i="155"/>
  <c r="K19" i="155" s="1"/>
  <c r="L18" i="155"/>
  <c r="J18" i="155"/>
  <c r="F18" i="155"/>
  <c r="K18" i="155" s="1"/>
  <c r="L17" i="155"/>
  <c r="J17" i="155"/>
  <c r="F17" i="155"/>
  <c r="K17" i="155" s="1"/>
  <c r="L16" i="155"/>
  <c r="J16" i="155"/>
  <c r="I16" i="155"/>
  <c r="H16" i="155"/>
  <c r="G16" i="155"/>
  <c r="F16" i="155"/>
  <c r="K16" i="155" s="1"/>
  <c r="E16" i="155"/>
  <c r="D16" i="155"/>
  <c r="C16" i="155"/>
  <c r="L15" i="155"/>
  <c r="J15" i="155"/>
  <c r="F15" i="155"/>
  <c r="K15" i="155" s="1"/>
  <c r="L13" i="155"/>
  <c r="J13" i="155"/>
  <c r="F13" i="155"/>
  <c r="K13" i="155" s="1"/>
  <c r="L12" i="155"/>
  <c r="J12" i="155"/>
  <c r="F12" i="155"/>
  <c r="K12" i="155" s="1"/>
  <c r="L11" i="155"/>
  <c r="J11" i="155"/>
  <c r="F11" i="155"/>
  <c r="K11" i="155" s="1"/>
  <c r="L10" i="155"/>
  <c r="J10" i="155"/>
  <c r="F10" i="155"/>
  <c r="K10" i="155" s="1"/>
  <c r="L9" i="155"/>
  <c r="J9" i="155"/>
  <c r="F9" i="155"/>
  <c r="K9" i="155" s="1"/>
  <c r="L8" i="155"/>
  <c r="J8" i="155"/>
  <c r="F8" i="155"/>
  <c r="K8" i="155" s="1"/>
  <c r="L7" i="155"/>
  <c r="J7" i="155"/>
  <c r="J30" i="155" s="1"/>
  <c r="I7" i="155"/>
  <c r="I30" i="155" s="1"/>
  <c r="H7" i="155"/>
  <c r="H30" i="155" s="1"/>
  <c r="G7" i="155"/>
  <c r="G30" i="155" s="1"/>
  <c r="F7" i="155"/>
  <c r="F30" i="155" s="1"/>
  <c r="K30" i="155" s="1"/>
  <c r="E7" i="155"/>
  <c r="E30" i="155" s="1"/>
  <c r="D7" i="155"/>
  <c r="D30" i="155" s="1"/>
  <c r="C7" i="155"/>
  <c r="C30" i="155" s="1"/>
  <c r="J29" i="76"/>
  <c r="F29" i="76"/>
  <c r="K29" i="76" s="1"/>
  <c r="J28" i="76"/>
  <c r="F28" i="76"/>
  <c r="K28" i="76" s="1"/>
  <c r="F27" i="76"/>
  <c r="J26" i="76"/>
  <c r="F26" i="76"/>
  <c r="K26" i="76" s="1"/>
  <c r="J25" i="76"/>
  <c r="F25" i="76"/>
  <c r="K25" i="76" s="1"/>
  <c r="J24" i="76"/>
  <c r="F24" i="76"/>
  <c r="K24" i="76" s="1"/>
  <c r="J23" i="76"/>
  <c r="F23" i="76"/>
  <c r="K23" i="76" s="1"/>
  <c r="I22" i="76"/>
  <c r="H22" i="76"/>
  <c r="G22" i="76"/>
  <c r="J22" i="76" s="1"/>
  <c r="E22" i="76"/>
  <c r="D22" i="76"/>
  <c r="C22" i="76"/>
  <c r="F22" i="76" s="1"/>
  <c r="K22" i="76" s="1"/>
  <c r="J21" i="76"/>
  <c r="F21" i="76"/>
  <c r="K21" i="76" s="1"/>
  <c r="J20" i="76"/>
  <c r="F20" i="76"/>
  <c r="K20" i="76" s="1"/>
  <c r="J19" i="76"/>
  <c r="F19" i="76"/>
  <c r="K19" i="76" s="1"/>
  <c r="J18" i="76"/>
  <c r="F18" i="76"/>
  <c r="K18" i="76" s="1"/>
  <c r="J17" i="76"/>
  <c r="F17" i="76"/>
  <c r="K17" i="76" s="1"/>
  <c r="I16" i="76"/>
  <c r="H16" i="76"/>
  <c r="G16" i="76"/>
  <c r="J16" i="76" s="1"/>
  <c r="E16" i="76"/>
  <c r="D16" i="76"/>
  <c r="C16" i="76"/>
  <c r="F16" i="76" s="1"/>
  <c r="K16" i="76" s="1"/>
  <c r="J15" i="76"/>
  <c r="F15" i="76"/>
  <c r="K15" i="76" s="1"/>
  <c r="J13" i="76"/>
  <c r="F13" i="76"/>
  <c r="K13" i="76" s="1"/>
  <c r="J12" i="76"/>
  <c r="F12" i="76"/>
  <c r="K12" i="76" s="1"/>
  <c r="J11" i="76"/>
  <c r="F11" i="76"/>
  <c r="K11" i="76" s="1"/>
  <c r="J10" i="76"/>
  <c r="F10" i="76"/>
  <c r="K10" i="76" s="1"/>
  <c r="J9" i="76"/>
  <c r="F9" i="76"/>
  <c r="K9" i="76" s="1"/>
  <c r="J8" i="76"/>
  <c r="F8" i="76"/>
  <c r="K8" i="76" s="1"/>
  <c r="I7" i="76"/>
  <c r="I30" i="76" s="1"/>
  <c r="H7" i="76"/>
  <c r="H30" i="76" s="1"/>
  <c r="G7" i="76"/>
  <c r="G30" i="76" s="1"/>
  <c r="E7" i="76"/>
  <c r="E30" i="76" s="1"/>
  <c r="D7" i="76"/>
  <c r="D30" i="76" s="1"/>
  <c r="C7" i="76"/>
  <c r="C30" i="76" s="1"/>
  <c r="F7" i="76" l="1"/>
  <c r="J7" i="76"/>
  <c r="J30" i="76" s="1"/>
  <c r="K7" i="155"/>
  <c r="F30" i="76"/>
  <c r="K30" i="76" s="1"/>
  <c r="K7" i="76" l="1"/>
  <c r="E25" i="3"/>
  <c r="E26" i="3"/>
  <c r="E27" i="3"/>
  <c r="E28" i="3"/>
  <c r="E29" i="3"/>
  <c r="E30" i="3"/>
  <c r="E31" i="3"/>
  <c r="E32" i="3"/>
  <c r="E33" i="3"/>
  <c r="E34" i="3"/>
  <c r="E35" i="3"/>
  <c r="E36" i="3"/>
  <c r="E37" i="3"/>
  <c r="E24" i="3"/>
  <c r="C23" i="3"/>
  <c r="D23" i="3"/>
  <c r="E17" i="3"/>
  <c r="E20" i="3"/>
  <c r="E21" i="3"/>
  <c r="D19" i="3"/>
  <c r="C19" i="3"/>
  <c r="D16" i="3"/>
  <c r="C16" i="3"/>
  <c r="E6" i="3"/>
  <c r="E7" i="3"/>
  <c r="E8" i="3"/>
  <c r="E9" i="3"/>
  <c r="E10" i="3"/>
  <c r="E11" i="3"/>
  <c r="C5" i="3"/>
  <c r="F8" i="149" l="1"/>
  <c r="E7" i="149"/>
  <c r="C7" i="149"/>
  <c r="D11" i="149"/>
  <c r="C10" i="149"/>
  <c r="D8" i="149"/>
  <c r="D15" i="91" l="1"/>
  <c r="E14" i="91"/>
  <c r="E11" i="91"/>
  <c r="F15" i="91"/>
  <c r="F14" i="91"/>
  <c r="F12" i="91"/>
  <c r="F13" i="91"/>
  <c r="F11" i="91"/>
  <c r="H11" i="91"/>
  <c r="C13" i="91"/>
  <c r="E13" i="91"/>
  <c r="C22" i="64" l="1"/>
  <c r="C10" i="109"/>
  <c r="E18" i="23" l="1"/>
  <c r="E17" i="23"/>
  <c r="E16" i="23"/>
  <c r="D15" i="23"/>
  <c r="C15" i="23"/>
  <c r="E15" i="23" s="1"/>
  <c r="E14" i="23"/>
  <c r="D13" i="23"/>
  <c r="C13" i="23"/>
  <c r="E13" i="23" s="1"/>
  <c r="E12" i="23"/>
  <c r="E11" i="23"/>
  <c r="E10" i="23"/>
  <c r="E9" i="23"/>
  <c r="E8" i="23"/>
  <c r="D7" i="23"/>
  <c r="C7" i="23"/>
  <c r="E7" i="23" s="1"/>
  <c r="E6" i="23"/>
  <c r="D5" i="23"/>
  <c r="D19" i="23" s="1"/>
  <c r="C5" i="23"/>
  <c r="C19" i="23" s="1"/>
  <c r="E19" i="23" l="1"/>
  <c r="E5" i="23"/>
  <c r="C5" i="154" l="1"/>
  <c r="D5" i="154"/>
  <c r="D11" i="154"/>
  <c r="F36" i="138"/>
  <c r="F35" i="138"/>
  <c r="F30" i="138"/>
  <c r="F31" i="138"/>
  <c r="F32" i="138"/>
  <c r="F33" i="138"/>
  <c r="F29" i="138"/>
  <c r="F21" i="138"/>
  <c r="F22" i="138"/>
  <c r="F23" i="138"/>
  <c r="F24" i="138"/>
  <c r="F25" i="138"/>
  <c r="F26" i="138"/>
  <c r="F27" i="138"/>
  <c r="F20" i="138"/>
  <c r="F16" i="138"/>
  <c r="F17" i="138"/>
  <c r="F18" i="138"/>
  <c r="F15" i="138"/>
  <c r="F9" i="138"/>
  <c r="F10" i="138"/>
  <c r="F11" i="138"/>
  <c r="F12" i="138"/>
  <c r="F13" i="138"/>
  <c r="F8" i="138"/>
  <c r="G26" i="137"/>
  <c r="F28" i="137"/>
  <c r="F29" i="137"/>
  <c r="F30" i="137"/>
  <c r="F31" i="137"/>
  <c r="F32" i="137"/>
  <c r="F33" i="137"/>
  <c r="F27" i="137"/>
  <c r="F16" i="137"/>
  <c r="F17" i="137"/>
  <c r="F18" i="137"/>
  <c r="F19" i="137"/>
  <c r="F20" i="137"/>
  <c r="F21" i="137"/>
  <c r="F22" i="137"/>
  <c r="F23" i="137"/>
  <c r="F24" i="137"/>
  <c r="F25" i="137"/>
  <c r="F15" i="137"/>
  <c r="F9" i="137"/>
  <c r="F10" i="137"/>
  <c r="F11" i="137"/>
  <c r="F12" i="137"/>
  <c r="F13" i="137"/>
  <c r="F8" i="137"/>
  <c r="D43" i="159" l="1"/>
  <c r="F43" i="159" l="1"/>
  <c r="F48" i="159" s="1"/>
  <c r="E43" i="159"/>
  <c r="C43" i="159"/>
  <c r="D45" i="159" s="1"/>
  <c r="D18" i="154"/>
  <c r="E48" i="159" l="1"/>
  <c r="F45" i="159"/>
  <c r="F44" i="159"/>
  <c r="F41" i="158"/>
  <c r="E41" i="158"/>
  <c r="F47" i="158" s="1"/>
  <c r="D43" i="133" l="1"/>
  <c r="C10" i="157"/>
  <c r="C8" i="157"/>
  <c r="C7" i="157"/>
  <c r="G97" i="150" l="1"/>
  <c r="H97" i="150"/>
  <c r="G6" i="158" l="1"/>
  <c r="H6" i="158"/>
  <c r="H44" i="158"/>
  <c r="G44" i="158"/>
  <c r="H43" i="158"/>
  <c r="G43" i="158"/>
  <c r="H40" i="158"/>
  <c r="G40" i="158"/>
  <c r="H39" i="158"/>
  <c r="G39" i="158"/>
  <c r="H38" i="158"/>
  <c r="G38" i="158"/>
  <c r="H37" i="158"/>
  <c r="G37" i="158"/>
  <c r="H36" i="158"/>
  <c r="G36" i="158"/>
  <c r="H35" i="158"/>
  <c r="G35" i="158"/>
  <c r="H34" i="158"/>
  <c r="G34" i="158"/>
  <c r="H33" i="158"/>
  <c r="G33" i="158"/>
  <c r="H32" i="158"/>
  <c r="G32" i="158"/>
  <c r="H31" i="158"/>
  <c r="G31" i="158"/>
  <c r="H30" i="158"/>
  <c r="G30" i="158"/>
  <c r="H29" i="158"/>
  <c r="G29" i="158"/>
  <c r="H28" i="158"/>
  <c r="G28" i="158"/>
  <c r="H27" i="158"/>
  <c r="G27" i="158"/>
  <c r="H26" i="158"/>
  <c r="G26" i="158"/>
  <c r="H25" i="158"/>
  <c r="G25" i="158"/>
  <c r="H24" i="158"/>
  <c r="G24" i="158"/>
  <c r="H23" i="158"/>
  <c r="G23" i="158"/>
  <c r="H22" i="158"/>
  <c r="G22" i="158"/>
  <c r="H21" i="158"/>
  <c r="G21" i="158"/>
  <c r="H20" i="158"/>
  <c r="G20" i="158"/>
  <c r="H19" i="158"/>
  <c r="G19" i="158"/>
  <c r="H18" i="158"/>
  <c r="G18" i="158"/>
  <c r="H17" i="158"/>
  <c r="G17" i="158"/>
  <c r="H16" i="158"/>
  <c r="G16" i="158"/>
  <c r="H15" i="158"/>
  <c r="G15" i="158"/>
  <c r="H14" i="158"/>
  <c r="G14" i="158"/>
  <c r="H13" i="158"/>
  <c r="G13" i="158"/>
  <c r="H12" i="158"/>
  <c r="G12" i="158"/>
  <c r="H11" i="158"/>
  <c r="G11" i="158"/>
  <c r="H10" i="158"/>
  <c r="G10" i="158"/>
  <c r="H9" i="158"/>
  <c r="G9" i="158"/>
  <c r="H8" i="158"/>
  <c r="G8" i="158"/>
  <c r="H7" i="158"/>
  <c r="G7" i="158"/>
  <c r="D41" i="158"/>
  <c r="C41" i="158"/>
  <c r="D47" i="158" s="1"/>
  <c r="H42" i="159"/>
  <c r="G42" i="159"/>
  <c r="H41" i="159"/>
  <c r="G41" i="159"/>
  <c r="H40" i="159"/>
  <c r="G40" i="159"/>
  <c r="H39" i="159"/>
  <c r="G39" i="159"/>
  <c r="H38" i="159"/>
  <c r="G38" i="159"/>
  <c r="H37" i="159"/>
  <c r="G37" i="159"/>
  <c r="H36" i="159"/>
  <c r="G36" i="159"/>
  <c r="H35" i="159"/>
  <c r="G35" i="159"/>
  <c r="H34" i="159"/>
  <c r="G34" i="159"/>
  <c r="H33" i="159"/>
  <c r="G33" i="159"/>
  <c r="H32" i="159"/>
  <c r="G32" i="159"/>
  <c r="H31" i="159"/>
  <c r="G31" i="159"/>
  <c r="H30" i="159"/>
  <c r="G30" i="159"/>
  <c r="H29" i="159"/>
  <c r="G29" i="159"/>
  <c r="H28" i="159"/>
  <c r="G28" i="159"/>
  <c r="H27" i="159"/>
  <c r="G27" i="159"/>
  <c r="H26" i="159"/>
  <c r="G26" i="159"/>
  <c r="H25" i="159"/>
  <c r="G25" i="159"/>
  <c r="H24" i="159"/>
  <c r="G24" i="159"/>
  <c r="H23" i="159"/>
  <c r="G23" i="159"/>
  <c r="H22" i="159"/>
  <c r="G22" i="159"/>
  <c r="H21" i="159"/>
  <c r="G21" i="159"/>
  <c r="H20" i="159"/>
  <c r="G20" i="159"/>
  <c r="H19" i="159"/>
  <c r="G19" i="159"/>
  <c r="H18" i="159"/>
  <c r="G18" i="159"/>
  <c r="H17" i="159"/>
  <c r="G17" i="159"/>
  <c r="H16" i="159"/>
  <c r="G16" i="159"/>
  <c r="H15" i="159"/>
  <c r="G15" i="159"/>
  <c r="H14" i="159"/>
  <c r="G14" i="159"/>
  <c r="H13" i="159"/>
  <c r="G13" i="159"/>
  <c r="H12" i="159"/>
  <c r="G12" i="159"/>
  <c r="H11" i="159"/>
  <c r="G11" i="159"/>
  <c r="H10" i="159"/>
  <c r="G10" i="159"/>
  <c r="H9" i="159"/>
  <c r="G9" i="159"/>
  <c r="H8" i="159"/>
  <c r="G8" i="159"/>
  <c r="H7" i="159"/>
  <c r="G7" i="159"/>
  <c r="H6" i="159"/>
  <c r="G6" i="159"/>
  <c r="E42" i="158"/>
  <c r="E45" i="158" s="1"/>
  <c r="G47" i="158" s="1"/>
  <c r="F42" i="158"/>
  <c r="F45" i="158" s="1"/>
  <c r="G43" i="159"/>
  <c r="D9" i="157"/>
  <c r="C9" i="157"/>
  <c r="E6" i="157" s="1"/>
  <c r="E9" i="157" s="1"/>
  <c r="C18" i="154"/>
  <c r="H54" i="142"/>
  <c r="G48" i="142"/>
  <c r="C11" i="154"/>
  <c r="E23" i="3"/>
  <c r="F7" i="144"/>
  <c r="H101" i="150"/>
  <c r="G101" i="150"/>
  <c r="H99" i="150"/>
  <c r="G99" i="150"/>
  <c r="H98" i="150"/>
  <c r="G98" i="150"/>
  <c r="H96" i="150"/>
  <c r="G96" i="150"/>
  <c r="H95" i="150"/>
  <c r="G95" i="150"/>
  <c r="H94" i="150"/>
  <c r="G94" i="150"/>
  <c r="H93" i="150"/>
  <c r="G93" i="150"/>
  <c r="H92" i="150"/>
  <c r="G92" i="150"/>
  <c r="H91" i="150"/>
  <c r="G91" i="150"/>
  <c r="H90" i="150"/>
  <c r="G90" i="150"/>
  <c r="F89" i="150"/>
  <c r="E89" i="150"/>
  <c r="D89" i="150"/>
  <c r="C89" i="150"/>
  <c r="H88" i="150"/>
  <c r="G88" i="150"/>
  <c r="H87" i="150"/>
  <c r="G87" i="150"/>
  <c r="H86" i="150"/>
  <c r="G86" i="150"/>
  <c r="H85" i="150"/>
  <c r="G85" i="150"/>
  <c r="H84" i="150"/>
  <c r="G84" i="150"/>
  <c r="H83" i="150"/>
  <c r="G83" i="150"/>
  <c r="H82" i="150"/>
  <c r="G82" i="150"/>
  <c r="F81" i="150"/>
  <c r="E81" i="150"/>
  <c r="D81" i="150"/>
  <c r="C81" i="150"/>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F60" i="150" s="1"/>
  <c r="E62" i="150"/>
  <c r="D62" i="150"/>
  <c r="D60" i="150" s="1"/>
  <c r="C62" i="150"/>
  <c r="C60" i="150"/>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C44" i="150"/>
  <c r="H43" i="150"/>
  <c r="G43" i="150"/>
  <c r="H42" i="150"/>
  <c r="G42" i="150"/>
  <c r="H41" i="150"/>
  <c r="G41" i="150"/>
  <c r="F40" i="150"/>
  <c r="E40" i="150"/>
  <c r="D40" i="150"/>
  <c r="C40" i="150"/>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H25" i="150"/>
  <c r="G25" i="150"/>
  <c r="H24" i="150"/>
  <c r="G24" i="150"/>
  <c r="H23" i="150"/>
  <c r="G23" i="150"/>
  <c r="H22" i="150"/>
  <c r="G22" i="150"/>
  <c r="H21" i="150"/>
  <c r="G21" i="150"/>
  <c r="H20" i="150"/>
  <c r="G20" i="150"/>
  <c r="F19" i="150"/>
  <c r="E19" i="150"/>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7" i="150" s="1"/>
  <c r="A88" i="150" s="1"/>
  <c r="A89" i="150" s="1"/>
  <c r="A90" i="150" s="1"/>
  <c r="A91" i="150" s="1"/>
  <c r="A93" i="150" s="1"/>
  <c r="A94" i="150" s="1"/>
  <c r="A95" i="150" s="1"/>
  <c r="A96" i="150" s="1"/>
  <c r="A97" i="150" s="1"/>
  <c r="A98" i="150" s="1"/>
  <c r="A99" i="150" s="1"/>
  <c r="A101" i="150" s="1"/>
  <c r="A102" i="150" s="1"/>
  <c r="F6" i="150"/>
  <c r="E6" i="150"/>
  <c r="D6" i="150"/>
  <c r="C6" i="150"/>
  <c r="F6" i="149"/>
  <c r="E6" i="149"/>
  <c r="D6" i="149"/>
  <c r="C6" i="149"/>
  <c r="G7" i="149"/>
  <c r="H8" i="149"/>
  <c r="G10" i="149"/>
  <c r="H11" i="149"/>
  <c r="G14" i="149"/>
  <c r="H14" i="149"/>
  <c r="G15" i="149"/>
  <c r="H15" i="149"/>
  <c r="D9" i="149"/>
  <c r="E9" i="149"/>
  <c r="F9" i="149"/>
  <c r="C9" i="149"/>
  <c r="F13" i="149"/>
  <c r="E13" i="149"/>
  <c r="D13" i="149"/>
  <c r="C13" i="149"/>
  <c r="G13" i="149" s="1"/>
  <c r="A8" i="149"/>
  <c r="A9" i="149" s="1"/>
  <c r="A10" i="149" s="1"/>
  <c r="A11" i="149" s="1"/>
  <c r="A12" i="149" s="1"/>
  <c r="A13" i="149" s="1"/>
  <c r="A14" i="149" s="1"/>
  <c r="F11" i="141"/>
  <c r="F42" i="133"/>
  <c r="F41" i="133"/>
  <c r="G17" i="141"/>
  <c r="G15" i="141"/>
  <c r="G14" i="141"/>
  <c r="G13" i="141"/>
  <c r="G12" i="141"/>
  <c r="E11" i="141"/>
  <c r="D11" i="141"/>
  <c r="C11" i="141"/>
  <c r="G11" i="141" s="1"/>
  <c r="G10" i="141"/>
  <c r="G9" i="141"/>
  <c r="F8" i="141"/>
  <c r="E8" i="141"/>
  <c r="E7" i="141" s="1"/>
  <c r="E18" i="141" s="1"/>
  <c r="D8" i="141"/>
  <c r="D7" i="141" s="1"/>
  <c r="C8" i="141"/>
  <c r="N15" i="145"/>
  <c r="M15" i="145"/>
  <c r="M18" i="145"/>
  <c r="N18" i="145"/>
  <c r="N16" i="145"/>
  <c r="M16" i="145"/>
  <c r="N12" i="145"/>
  <c r="M12" i="145"/>
  <c r="N11" i="145"/>
  <c r="M11" i="145"/>
  <c r="M8" i="145"/>
  <c r="N8" i="145"/>
  <c r="M6" i="145"/>
  <c r="D13" i="144"/>
  <c r="E13" i="144"/>
  <c r="F13" i="144"/>
  <c r="H7" i="145"/>
  <c r="G7" i="145"/>
  <c r="G17" i="145" s="1"/>
  <c r="H6" i="145" s="1"/>
  <c r="N14" i="145"/>
  <c r="M14" i="145"/>
  <c r="N13" i="145"/>
  <c r="M13" i="145"/>
  <c r="N10" i="145"/>
  <c r="M10" i="145"/>
  <c r="N9" i="145"/>
  <c r="M9" i="145"/>
  <c r="L7" i="145"/>
  <c r="K17" i="145"/>
  <c r="L6" i="145" s="1"/>
  <c r="L17" i="145" s="1"/>
  <c r="J7" i="145"/>
  <c r="I7" i="145"/>
  <c r="F7" i="145"/>
  <c r="E7" i="145"/>
  <c r="E17" i="145" s="1"/>
  <c r="F6" i="145" s="1"/>
  <c r="D7" i="145"/>
  <c r="C7" i="145"/>
  <c r="F39" i="134"/>
  <c r="I20" i="91"/>
  <c r="I19" i="91"/>
  <c r="I18" i="91"/>
  <c r="I17" i="91"/>
  <c r="I16" i="91"/>
  <c r="I15" i="91"/>
  <c r="I14" i="91"/>
  <c r="I13" i="91"/>
  <c r="I12" i="91"/>
  <c r="I11" i="91"/>
  <c r="H10" i="91"/>
  <c r="H21" i="91" s="1"/>
  <c r="G10" i="91"/>
  <c r="G21" i="91" s="1"/>
  <c r="F10" i="91"/>
  <c r="F21" i="91" s="1"/>
  <c r="E10" i="91"/>
  <c r="E21" i="91" s="1"/>
  <c r="D10" i="91"/>
  <c r="D21" i="91" s="1"/>
  <c r="C10" i="91"/>
  <c r="C21" i="91" s="1"/>
  <c r="I9" i="91"/>
  <c r="I8" i="91"/>
  <c r="I6" i="91"/>
  <c r="M6" i="97"/>
  <c r="G6" i="97"/>
  <c r="F16" i="144"/>
  <c r="E16" i="144"/>
  <c r="D16" i="144"/>
  <c r="C16" i="144"/>
  <c r="C13" i="144"/>
  <c r="F10" i="144"/>
  <c r="E10" i="144"/>
  <c r="D10" i="144"/>
  <c r="C10" i="144"/>
  <c r="E7" i="144"/>
  <c r="D7" i="144"/>
  <c r="C7" i="144"/>
  <c r="H58" i="142"/>
  <c r="G58" i="142"/>
  <c r="H57" i="142"/>
  <c r="G57" i="142"/>
  <c r="H56" i="142"/>
  <c r="G56" i="142"/>
  <c r="G54" i="142"/>
  <c r="H53" i="142"/>
  <c r="G53" i="142"/>
  <c r="H51" i="142"/>
  <c r="G51" i="142"/>
  <c r="H50" i="142"/>
  <c r="G50" i="142"/>
  <c r="G49" i="142"/>
  <c r="G47" i="142"/>
  <c r="G46" i="142"/>
  <c r="G45" i="142"/>
  <c r="F44" i="142"/>
  <c r="E44" i="142"/>
  <c r="D44" i="142"/>
  <c r="C44" i="142"/>
  <c r="H43" i="142"/>
  <c r="G43" i="142"/>
  <c r="H42" i="142"/>
  <c r="G42" i="142"/>
  <c r="H41" i="142"/>
  <c r="G41" i="142"/>
  <c r="H40" i="142"/>
  <c r="G40" i="142"/>
  <c r="H39" i="142"/>
  <c r="G39" i="142"/>
  <c r="H38" i="142"/>
  <c r="G38" i="142"/>
  <c r="H37" i="142"/>
  <c r="G37" i="142"/>
  <c r="H36" i="142"/>
  <c r="G36" i="142"/>
  <c r="H35" i="142"/>
  <c r="G35" i="142"/>
  <c r="H34" i="142"/>
  <c r="G34" i="142"/>
  <c r="H33" i="142"/>
  <c r="G33" i="142"/>
  <c r="H32" i="142"/>
  <c r="G32" i="142"/>
  <c r="H31" i="142"/>
  <c r="G31" i="142"/>
  <c r="H30" i="142"/>
  <c r="G30" i="142"/>
  <c r="H29" i="142"/>
  <c r="G29" i="142"/>
  <c r="H28" i="142"/>
  <c r="G28" i="142"/>
  <c r="H27" i="142"/>
  <c r="G27" i="142"/>
  <c r="H26" i="142"/>
  <c r="G26" i="142"/>
  <c r="F25" i="142"/>
  <c r="E25" i="142"/>
  <c r="D25" i="142"/>
  <c r="C25" i="142"/>
  <c r="H24" i="142"/>
  <c r="G24" i="142"/>
  <c r="H23" i="142"/>
  <c r="G23" i="142"/>
  <c r="H22" i="142"/>
  <c r="G22" i="142"/>
  <c r="F21" i="142"/>
  <c r="E21" i="142"/>
  <c r="D21" i="142"/>
  <c r="C21" i="142"/>
  <c r="H20" i="142"/>
  <c r="G20" i="142"/>
  <c r="H19" i="142"/>
  <c r="G19" i="142"/>
  <c r="H18" i="142"/>
  <c r="G18" i="142"/>
  <c r="H17" i="142"/>
  <c r="G17" i="142"/>
  <c r="H16" i="142"/>
  <c r="G16" i="142"/>
  <c r="H15" i="142"/>
  <c r="G15" i="142"/>
  <c r="H14" i="142"/>
  <c r="G14" i="142"/>
  <c r="H13" i="142"/>
  <c r="G13" i="142"/>
  <c r="H12" i="142"/>
  <c r="G12" i="142"/>
  <c r="F11" i="142"/>
  <c r="E11" i="142"/>
  <c r="D11" i="142"/>
  <c r="H11" i="142" s="1"/>
  <c r="C11" i="142"/>
  <c r="H10" i="142"/>
  <c r="G10" i="142"/>
  <c r="H9" i="142"/>
  <c r="G9" i="142"/>
  <c r="H8" i="142"/>
  <c r="G8" i="142"/>
  <c r="H7" i="142"/>
  <c r="G7" i="142"/>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F6" i="142"/>
  <c r="E6" i="142"/>
  <c r="D6" i="142"/>
  <c r="C6" i="142"/>
  <c r="D7" i="139"/>
  <c r="D6" i="139" s="1"/>
  <c r="D49" i="139" s="1"/>
  <c r="E7" i="139"/>
  <c r="E6" i="139" s="1"/>
  <c r="E49" i="139" s="1"/>
  <c r="F7" i="139"/>
  <c r="G7" i="139"/>
  <c r="D13" i="139"/>
  <c r="E13" i="139"/>
  <c r="F13" i="139"/>
  <c r="G13" i="139"/>
  <c r="G6" i="139" s="1"/>
  <c r="F20" i="139"/>
  <c r="G20" i="139"/>
  <c r="D24" i="139"/>
  <c r="E24" i="139"/>
  <c r="F24" i="139"/>
  <c r="G24" i="139"/>
  <c r="D32" i="139"/>
  <c r="E32" i="139"/>
  <c r="F32" i="139"/>
  <c r="G32" i="139"/>
  <c r="D42" i="139"/>
  <c r="E42" i="139"/>
  <c r="F42" i="139"/>
  <c r="G42" i="139"/>
  <c r="D46" i="139"/>
  <c r="E46" i="139"/>
  <c r="F46" i="139"/>
  <c r="G46" i="139"/>
  <c r="D7" i="138"/>
  <c r="E7" i="138"/>
  <c r="F7" i="138"/>
  <c r="G7" i="138"/>
  <c r="D14" i="138"/>
  <c r="E14" i="138"/>
  <c r="F14" i="138"/>
  <c r="G14" i="138"/>
  <c r="D19" i="138"/>
  <c r="E19" i="138"/>
  <c r="F19" i="138"/>
  <c r="G19" i="138"/>
  <c r="D28" i="138"/>
  <c r="E28" i="138"/>
  <c r="F28" i="138"/>
  <c r="G28" i="138"/>
  <c r="D34" i="138"/>
  <c r="E34" i="138"/>
  <c r="F34" i="138"/>
  <c r="G34" i="138"/>
  <c r="D7" i="137"/>
  <c r="E7" i="137"/>
  <c r="F7" i="137"/>
  <c r="G7" i="137"/>
  <c r="D14" i="137"/>
  <c r="E14" i="137"/>
  <c r="F14" i="137"/>
  <c r="G14" i="137"/>
  <c r="D26" i="137"/>
  <c r="E26" i="137"/>
  <c r="F26" i="137"/>
  <c r="F4" i="134"/>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40" i="134"/>
  <c r="E41" i="134"/>
  <c r="F4" i="133"/>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D39" i="133"/>
  <c r="E39" i="133"/>
  <c r="C6" i="61"/>
  <c r="D6" i="61"/>
  <c r="A7" i="61"/>
  <c r="E7" i="61"/>
  <c r="A8" i="61"/>
  <c r="A9" i="61" s="1"/>
  <c r="A10" i="61" s="1"/>
  <c r="E8" i="61"/>
  <c r="E10" i="61"/>
  <c r="E12" i="61"/>
  <c r="E13" i="61"/>
  <c r="C15" i="61"/>
  <c r="D15" i="61"/>
  <c r="E15" i="61" s="1"/>
  <c r="E16" i="61"/>
  <c r="C5" i="64"/>
  <c r="A7" i="90"/>
  <c r="A8" i="90" s="1"/>
  <c r="A9" i="90" s="1"/>
  <c r="A10" i="90" s="1"/>
  <c r="A11" i="90" s="1"/>
  <c r="A12" i="90" s="1"/>
  <c r="A13" i="90" s="1"/>
  <c r="A14" i="90" s="1"/>
  <c r="A15" i="90" s="1"/>
  <c r="A17" i="90" s="1"/>
  <c r="A18" i="90" s="1"/>
  <c r="A19" i="90" s="1"/>
  <c r="A20" i="90" s="1"/>
  <c r="C7" i="90"/>
  <c r="C14" i="90" s="1"/>
  <c r="C20" i="90" s="1"/>
  <c r="D7" i="90"/>
  <c r="D14" i="90" s="1"/>
  <c r="A7" i="116"/>
  <c r="E8" i="116"/>
  <c r="F8" i="116"/>
  <c r="A9" i="116"/>
  <c r="A10" i="116" s="1"/>
  <c r="A11" i="116" s="1"/>
  <c r="A12" i="116" s="1"/>
  <c r="A13" i="116" s="1"/>
  <c r="A14" i="116" s="1"/>
  <c r="A15" i="116" s="1"/>
  <c r="A16" i="116" s="1"/>
  <c r="A17" i="116" s="1"/>
  <c r="A18" i="116" s="1"/>
  <c r="C13" i="116"/>
  <c r="C17" i="116" s="1"/>
  <c r="D13" i="116"/>
  <c r="D14" i="116"/>
  <c r="D18" i="116"/>
  <c r="A7" i="109"/>
  <c r="A8" i="109"/>
  <c r="A9" i="109" s="1"/>
  <c r="A10" i="109" s="1"/>
  <c r="C11" i="109"/>
  <c r="E9" i="109" s="1"/>
  <c r="E11" i="109" s="1"/>
  <c r="D5" i="3"/>
  <c r="E5" i="3" s="1"/>
  <c r="E12" i="3"/>
  <c r="E13" i="3"/>
  <c r="E14" i="3"/>
  <c r="E16" i="3"/>
  <c r="E19" i="3"/>
  <c r="A6" i="23"/>
  <c r="A7" i="23" s="1"/>
  <c r="A8" i="23" s="1"/>
  <c r="A9" i="23" s="1"/>
  <c r="A10" i="23" s="1"/>
  <c r="A11" i="23" s="1"/>
  <c r="A12" i="23" s="1"/>
  <c r="A13" i="23" s="1"/>
  <c r="A14" i="23" s="1"/>
  <c r="A15" i="23" s="1"/>
  <c r="A16" i="23" s="1"/>
  <c r="A17" i="23" s="1"/>
  <c r="A18" i="23" s="1"/>
  <c r="A19" i="23" s="1"/>
  <c r="I17" i="145"/>
  <c r="J6" i="145" s="1"/>
  <c r="J17" i="145" s="1"/>
  <c r="H6" i="149"/>
  <c r="G9" i="149"/>
  <c r="F79" i="150"/>
  <c r="H13" i="149" l="1"/>
  <c r="H9" i="149"/>
  <c r="F12" i="149"/>
  <c r="G27" i="150"/>
  <c r="H89" i="150"/>
  <c r="F7" i="141"/>
  <c r="F18" i="141" s="1"/>
  <c r="E60" i="150"/>
  <c r="I14" i="159" s="1"/>
  <c r="D17" i="116"/>
  <c r="E79" i="150"/>
  <c r="D39" i="3"/>
  <c r="D19" i="90" s="1"/>
  <c r="D20" i="90" s="1"/>
  <c r="F6" i="144"/>
  <c r="D18" i="61"/>
  <c r="E6" i="61"/>
  <c r="E18" i="61"/>
  <c r="G8" i="141"/>
  <c r="C7" i="141"/>
  <c r="C18" i="141" s="1"/>
  <c r="F19" i="139"/>
  <c r="G6" i="138"/>
  <c r="E6" i="138"/>
  <c r="G6" i="137"/>
  <c r="D6" i="137"/>
  <c r="F6" i="137"/>
  <c r="F41" i="134"/>
  <c r="E40" i="133"/>
  <c r="E43" i="133" s="1"/>
  <c r="F43" i="133" s="1"/>
  <c r="E6" i="144"/>
  <c r="H12" i="149"/>
  <c r="F17" i="145"/>
  <c r="N7" i="145"/>
  <c r="H43" i="159"/>
  <c r="D42" i="158"/>
  <c r="D45" i="158" s="1"/>
  <c r="H45" i="158" s="1"/>
  <c r="C42" i="158"/>
  <c r="C45" i="158" s="1"/>
  <c r="G45" i="158" s="1"/>
  <c r="H81" i="150"/>
  <c r="G89" i="150"/>
  <c r="H68" i="150"/>
  <c r="H44" i="150"/>
  <c r="G68" i="150"/>
  <c r="G62" i="150"/>
  <c r="G40" i="150"/>
  <c r="H32" i="150"/>
  <c r="H27" i="150"/>
  <c r="F102" i="150"/>
  <c r="G6" i="150"/>
  <c r="H41" i="158"/>
  <c r="G44" i="142"/>
  <c r="H25" i="142"/>
  <c r="G25" i="142"/>
  <c r="F59" i="142"/>
  <c r="G11" i="142"/>
  <c r="C39" i="3"/>
  <c r="C18" i="61"/>
  <c r="E6" i="137"/>
  <c r="E37" i="138" s="1"/>
  <c r="F6" i="138"/>
  <c r="G19" i="139"/>
  <c r="G49" i="139" s="1"/>
  <c r="G7" i="141"/>
  <c r="G18" i="141" s="1"/>
  <c r="D6" i="138"/>
  <c r="E59" i="142"/>
  <c r="G21" i="142"/>
  <c r="H17" i="145"/>
  <c r="D12" i="149"/>
  <c r="D16" i="149" s="1"/>
  <c r="G19" i="150"/>
  <c r="H40" i="150"/>
  <c r="H21" i="142"/>
  <c r="H44" i="142"/>
  <c r="I10" i="91"/>
  <c r="C16" i="141"/>
  <c r="G16" i="141" s="1"/>
  <c r="E12" i="149"/>
  <c r="E16" i="149" s="1"/>
  <c r="F16" i="90" s="1"/>
  <c r="H19" i="150"/>
  <c r="G32" i="150"/>
  <c r="G44" i="150"/>
  <c r="H60" i="150"/>
  <c r="G81" i="150"/>
  <c r="F16" i="149"/>
  <c r="G41" i="158"/>
  <c r="I21" i="91"/>
  <c r="C12" i="149"/>
  <c r="C16" i="149" s="1"/>
  <c r="F39" i="133"/>
  <c r="F40" i="133" s="1"/>
  <c r="D6" i="144"/>
  <c r="C6" i="144"/>
  <c r="M7" i="145"/>
  <c r="C17" i="145"/>
  <c r="D79" i="150"/>
  <c r="H79" i="150" s="1"/>
  <c r="H62" i="150"/>
  <c r="D102" i="150"/>
  <c r="H6" i="150"/>
  <c r="C79" i="150"/>
  <c r="G79" i="150" s="1"/>
  <c r="G6" i="149"/>
  <c r="G12" i="149" s="1"/>
  <c r="H6" i="142"/>
  <c r="G6" i="142"/>
  <c r="D59" i="142"/>
  <c r="C102" i="150" l="1"/>
  <c r="D103" i="150" s="1"/>
  <c r="E102" i="150"/>
  <c r="F103" i="150" s="1"/>
  <c r="G60" i="150"/>
  <c r="E39" i="3"/>
  <c r="H16" i="149"/>
  <c r="G37" i="138"/>
  <c r="D37" i="138"/>
  <c r="F37" i="138"/>
  <c r="G16" i="149"/>
  <c r="G42" i="158"/>
  <c r="H102" i="150"/>
  <c r="F60" i="142"/>
  <c r="H59" i="142"/>
  <c r="H42" i="158"/>
  <c r="D6" i="145"/>
  <c r="M17" i="145"/>
  <c r="D60" i="142"/>
  <c r="G59" i="142"/>
  <c r="G102" i="150" l="1"/>
  <c r="D17" i="145"/>
  <c r="N17" i="145" s="1"/>
  <c r="N6" i="145"/>
  <c r="F6" i="139"/>
  <c r="F49" i="139" s="1"/>
</calcChain>
</file>

<file path=xl/comments1.xml><?xml version="1.0" encoding="utf-8"?>
<comments xmlns="http://schemas.openxmlformats.org/spreadsheetml/2006/main">
  <authors>
    <author>Ing. Gondárová Beata</author>
  </authors>
  <commentList>
    <comment ref="E3" author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t>
        </r>
        <r>
          <rPr>
            <u/>
            <sz val="10"/>
            <color indexed="81"/>
            <rFont val="Tahoma"/>
            <family val="2"/>
            <charset val="238"/>
          </rPr>
          <t>zo všetkých zdrojov</t>
        </r>
        <r>
          <rPr>
            <sz val="10"/>
            <color indexed="81"/>
            <rFont val="Tahoma"/>
            <family val="2"/>
            <charset val="238"/>
          </rPr>
          <t xml:space="preserve">), prijatých do 31.8.2012 - </t>
        </r>
        <r>
          <rPr>
            <b/>
            <sz val="10"/>
            <color indexed="81"/>
            <rFont val="Tahoma"/>
            <family val="2"/>
            <charset val="238"/>
          </rPr>
          <t>nie</t>
        </r>
        <r>
          <rPr>
            <sz val="10"/>
            <color indexed="81"/>
            <rFont val="Tahoma"/>
            <family val="2"/>
            <charset val="238"/>
          </rPr>
          <t xml:space="preserve"> z účelovej dotácie (napr. štip.doktorandov platených z neúčelovej dotácie MŠVVaŠ, nebezpečn. príplatok, vyšší plat. stupeň)</t>
        </r>
      </text>
    </comment>
    <comment ref="F3" author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(zo všetkých zdrojov), prijatých po 1.9.2012 na miestach nepridelených "ministerstvom"</t>
        </r>
      </text>
    </comment>
  </commentList>
</comments>
</file>

<file path=xl/sharedStrings.xml><?xml version="1.0" encoding="utf-8"?>
<sst xmlns="http://schemas.openxmlformats.org/spreadsheetml/2006/main" count="2216" uniqueCount="1558">
  <si>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</si>
  <si>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</si>
  <si>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</si>
  <si>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</si>
  <si>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</si>
  <si>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</si>
  <si>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</si>
  <si>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</si>
  <si>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</si>
  <si>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</si>
  <si>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</si>
  <si>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</si>
  <si>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</si>
  <si>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</si>
  <si>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</si>
  <si>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</si>
  <si>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</si>
  <si>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t>- Iné ostatné  náklady (účet 549) [SUM(R77:R83)]</t>
  </si>
  <si>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</si>
  <si>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</si>
  <si>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</si>
  <si>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</si>
  <si>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</si>
  <si>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</si>
  <si>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</si>
  <si>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</si>
  <si>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</si>
  <si>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</si>
  <si>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</si>
  <si>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</si>
  <si>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</si>
  <si>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</si>
  <si>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</si>
  <si>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</si>
  <si>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</si>
  <si>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</si>
  <si>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</si>
  <si>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</si>
  <si>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</si>
  <si>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</si>
  <si>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</si>
  <si>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</si>
  <si>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</si>
  <si>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</si>
  <si>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</si>
  <si>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</si>
  <si>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</si>
  <si>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</si>
  <si>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</si>
  <si>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</si>
  <si>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</si>
  <si>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</si>
  <si>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</si>
  <si>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</si>
  <si>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</si>
  <si>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</si>
  <si>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</si>
  <si>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</si>
  <si>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</si>
  <si>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</si>
  <si>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</si>
  <si>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</si>
  <si>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</si>
  <si>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</si>
  <si>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</si>
  <si>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</si>
  <si>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</si>
  <si>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</si>
  <si>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</si>
  <si>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</si>
  <si>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</si>
  <si>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</si>
  <si>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</si>
  <si>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</si>
  <si>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</si>
  <si>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</si>
  <si>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</si>
  <si>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</si>
  <si>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</si>
  <si>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r>
      <t xml:space="preserve">- na sociálnu podporu </t>
    </r>
    <r>
      <rPr>
        <sz val="12"/>
        <rFont val="Times New Roman"/>
        <family val="1"/>
        <charset val="238"/>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</si>
  <si>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</si>
  <si>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</si>
  <si>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</si>
  <si>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</si>
  <si>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</si>
  <si>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</si>
  <si>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</si>
  <si>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</si>
  <si>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</si>
  <si>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</si>
  <si>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</si>
  <si>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</si>
  <si>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</si>
  <si>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</si>
  <si>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</si>
  <si>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</si>
  <si>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</si>
  <si>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</si>
  <si>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</si>
  <si>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</si>
  <si>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</si>
  <si>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</si>
  <si>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</si>
  <si>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</si>
  <si>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</si>
  <si>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</si>
  <si>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</si>
  <si>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</si>
  <si>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</si>
  <si>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</si>
  <si>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</si>
  <si>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</si>
  <si>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</si>
  <si>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</si>
  <si>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</si>
  <si>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</si>
  <si>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</si>
  <si>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</si>
  <si>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</si>
  <si>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</si>
  <si>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</si>
  <si>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</si>
  <si>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chemikálie a ostatný materiál pre zabezpečenie experimentálnej výučby  (účet 501 002)</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</si>
  <si>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</si>
  <si>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</si>
  <si>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</si>
  <si>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</si>
  <si>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</si>
  <si>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</si>
  <si>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</si>
  <si>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</si>
  <si>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charset val="238"/>
      </rPr>
      <t xml:space="preserve">[R9+R10]  </t>
    </r>
    <r>
      <rPr>
        <b/>
        <sz val="12"/>
        <rFont val="Times New Roman"/>
        <family val="1"/>
        <charset val="238"/>
      </rPr>
      <t xml:space="preserve">                                                     </t>
    </r>
  </si>
  <si>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</si>
  <si>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</si>
  <si>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</si>
  <si>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</si>
  <si>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</si>
  <si>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</si>
  <si>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</si>
  <si>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</si>
  <si>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</si>
  <si>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</si>
  <si>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dopravné služby (účet 518 012)</t>
  </si>
  <si>
    <t>- ostatné služby (účet 518 099)</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</si>
  <si>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</si>
  <si>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</si>
  <si>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</si>
  <si>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</si>
  <si>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</si>
  <si>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</si>
  <si>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</si>
  <si>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</si>
  <si>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</si>
  <si>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</si>
  <si>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</si>
  <si>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</si>
  <si>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</si>
  <si>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</si>
  <si>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</si>
  <si>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</si>
  <si>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</si>
  <si>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</si>
  <si>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</si>
  <si>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</si>
  <si>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</si>
  <si>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</si>
  <si>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</si>
  <si>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</si>
  <si>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</si>
  <si>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</si>
  <si>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</si>
  <si>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</si>
  <si>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</si>
  <si>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</si>
  <si>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</si>
  <si>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</si>
  <si>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</si>
  <si>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</si>
  <si>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</si>
  <si>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</si>
  <si>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</si>
  <si>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</si>
  <si>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</si>
  <si>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</si>
  <si>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</si>
  <si>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</si>
  <si>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</si>
  <si>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</si>
  <si>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</si>
  <si>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</si>
  <si>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</si>
  <si>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</si>
  <si>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</si>
  <si>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</si>
  <si>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</si>
  <si>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</si>
  <si>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</si>
  <si>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</si>
  <si>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</si>
  <si>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</si>
  <si>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</si>
  <si>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</si>
  <si>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</si>
  <si>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</si>
  <si>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</si>
  <si>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</si>
  <si>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</si>
  <si>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</si>
  <si>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</si>
  <si>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</si>
  <si>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</si>
  <si>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</si>
  <si>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</si>
  <si>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</si>
  <si>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</si>
  <si>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</si>
  <si>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</si>
  <si>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</si>
  <si>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</si>
  <si>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</si>
  <si>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</si>
  <si>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</si>
  <si>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</si>
  <si>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</si>
  <si>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</si>
  <si>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</si>
  <si>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</si>
  <si>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</si>
  <si>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</si>
  <si>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</si>
  <si>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</si>
  <si>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</si>
  <si>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</si>
  <si>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</si>
  <si>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</si>
  <si>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</si>
  <si>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</si>
  <si>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</si>
  <si>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</si>
  <si>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</si>
  <si>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</si>
  <si>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</si>
  <si>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</si>
  <si>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</si>
  <si>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</si>
  <si>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</si>
  <si>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</si>
  <si>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</si>
  <si>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</si>
  <si>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</si>
  <si>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</si>
  <si>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</si>
  <si>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</si>
  <si>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</si>
  <si>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</si>
  <si>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</si>
  <si>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</si>
  <si>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</si>
  <si>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</si>
  <si>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</si>
  <si>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</si>
  <si>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</si>
  <si>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</si>
  <si>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</si>
  <si>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</si>
  <si>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</si>
  <si>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</si>
  <si>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</si>
  <si>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</si>
  <si>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</si>
  <si>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</si>
  <si>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</si>
  <si>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</si>
  <si>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</si>
  <si>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</si>
  <si>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</si>
  <si>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</si>
  <si>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</si>
  <si>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</si>
  <si>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</si>
  <si>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</si>
  <si>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</si>
  <si>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</si>
  <si>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</si>
  <si>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</si>
  <si>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</si>
  <si>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</si>
  <si>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</si>
  <si>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</si>
  <si>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</si>
  <si>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</si>
  <si>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</si>
  <si>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</si>
  <si>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</si>
  <si>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</si>
  <si>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</si>
  <si>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</si>
  <si>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</si>
  <si>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</si>
  <si>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</si>
  <si>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</si>
  <si>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</si>
  <si>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</si>
  <si>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</si>
  <si>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</si>
  <si>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</si>
  <si>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</si>
  <si>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</si>
  <si>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</si>
  <si>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</si>
  <si>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</si>
  <si>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</si>
  <si>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</si>
  <si>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</si>
  <si>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</si>
  <si>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</si>
  <si>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</si>
  <si>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</si>
  <si>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</si>
  <si>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</si>
  <si>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</si>
  <si>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</si>
  <si>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</si>
  <si>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</si>
  <si>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</si>
  <si>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</si>
  <si>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</si>
  <si>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</si>
  <si>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</si>
  <si>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</si>
  <si>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</si>
  <si>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</si>
  <si>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</si>
  <si>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</si>
  <si>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</si>
  <si>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</si>
  <si>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</si>
  <si>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</si>
  <si>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</si>
  <si>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</si>
  <si>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</si>
  <si>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</si>
  <si>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</si>
  <si>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</si>
  <si>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</si>
  <si>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</si>
  <si>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</si>
  <si>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</si>
  <si>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</si>
  <si>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</si>
  <si>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</si>
  <si>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</si>
  <si>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</si>
  <si>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</si>
  <si>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</si>
  <si>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</si>
  <si>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</si>
  <si>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</si>
  <si>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</si>
  <si>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</si>
  <si>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</si>
  <si>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</si>
  <si>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</si>
  <si>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</si>
  <si>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</si>
  <si>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</si>
  <si>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</si>
  <si>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</si>
  <si>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</si>
  <si>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</si>
  <si>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</si>
  <si>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</si>
  <si>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</si>
  <si>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</si>
  <si>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</si>
  <si>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</si>
  <si>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</si>
  <si>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</si>
  <si>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</si>
  <si>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</si>
  <si>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</si>
  <si>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</si>
  <si>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</si>
  <si>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</si>
  <si>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</si>
  <si>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</si>
  <si>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</si>
  <si>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</si>
  <si>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</si>
  <si>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</si>
  <si>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</si>
  <si>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</si>
  <si>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</si>
  <si>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</si>
  <si>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</si>
  <si>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</si>
  <si>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</si>
  <si>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</si>
  <si>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</si>
  <si>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</si>
  <si>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</si>
  <si>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</si>
  <si>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</si>
  <si>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</si>
  <si>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</si>
  <si>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</si>
  <si>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</si>
  <si>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</si>
  <si>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</si>
  <si>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</si>
  <si>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</si>
  <si>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</si>
  <si>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</si>
  <si>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</si>
  <si>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</si>
  <si>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</si>
  <si>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</si>
  <si>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</si>
  <si>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</si>
  <si>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</si>
  <si>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</si>
  <si>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charset val="238"/>
      </rPr>
      <t xml:space="preserve">2) </t>
    </r>
  </si>
  <si>
    <t>1b</t>
  </si>
  <si>
    <t>15b</t>
  </si>
  <si>
    <t>15c</t>
  </si>
  <si>
    <t>15d</t>
  </si>
  <si>
    <t xml:space="preserve">Názov verejnej vysokej školy:   
Názov fakulty:  </t>
  </si>
  <si>
    <t xml:space="preserve">Názov verejnej vysokej školy:  
Názov fakulty:  </t>
  </si>
  <si>
    <t xml:space="preserve">Názov verejnej vysokej školy: </t>
  </si>
  <si>
    <t xml:space="preserve">Názov verejnej vysokej školy:  </t>
  </si>
  <si>
    <t xml:space="preserve">Názov verejnej vysokej školy: 
Názov fakulty: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</si>
  <si>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</si>
  <si>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</si>
  <si>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</si>
  <si>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</si>
  <si>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</si>
  <si>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</si>
  <si>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</si>
  <si>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</si>
  <si>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</si>
  <si>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</si>
  <si>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</si>
  <si>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</si>
  <si>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</si>
  <si>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</si>
  <si>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</si>
  <si>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</si>
  <si>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</si>
  <si>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</si>
  <si>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</si>
  <si>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</si>
  <si>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</si>
  <si>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</si>
  <si>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</si>
  <si>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</si>
  <si>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</si>
  <si>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</si>
  <si>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</si>
  <si>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</si>
  <si>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</si>
  <si>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</si>
  <si>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</si>
  <si>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</si>
  <si>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</si>
  <si>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</si>
  <si>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</si>
  <si>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</si>
  <si>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</si>
  <si>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</si>
  <si>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</si>
  <si>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</si>
  <si>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</si>
  <si>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</si>
  <si>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</si>
  <si>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</si>
  <si>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</si>
  <si>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</si>
  <si>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</si>
  <si>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</si>
  <si>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</si>
  <si>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</si>
  <si>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</si>
  <si>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</si>
  <si>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</si>
  <si>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</si>
  <si>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</si>
  <si>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</si>
  <si>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</si>
  <si>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</si>
  <si>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</si>
  <si>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</si>
  <si>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</si>
  <si>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</si>
  <si>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</si>
  <si>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</si>
  <si>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</si>
  <si>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</si>
  <si>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</si>
  <si>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</si>
  <si>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</si>
  <si>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</si>
  <si>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</si>
  <si>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</si>
  <si>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</si>
  <si>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</si>
  <si>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</si>
  <si>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</si>
  <si>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</si>
  <si>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</si>
  <si>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</si>
  <si>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</si>
  <si>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</si>
  <si>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</si>
  <si>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</si>
  <si>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</si>
  <si>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</si>
  <si>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</si>
  <si>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</si>
  <si>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</si>
  <si>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</si>
  <si>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</si>
  <si>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</si>
  <si>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</si>
  <si>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</si>
  <si>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</si>
  <si>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</si>
  <si>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</si>
  <si>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</si>
  <si>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</si>
  <si>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</si>
  <si>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</si>
  <si>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</si>
  <si>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</si>
  <si>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</si>
  <si>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</si>
  <si>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</si>
  <si>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</si>
  <si>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</si>
  <si>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</si>
  <si>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</si>
  <si>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</si>
  <si>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</si>
  <si>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</si>
  <si>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</si>
  <si>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</si>
  <si>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</si>
  <si>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</si>
  <si>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</si>
  <si>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</si>
  <si>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</si>
  <si>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</si>
  <si>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</si>
  <si>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</si>
  <si>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</si>
  <si>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</si>
  <si>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</si>
  <si>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</si>
  <si>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</si>
  <si>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</si>
  <si>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</si>
  <si>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</si>
  <si>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</si>
  <si>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</si>
  <si>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</si>
  <si>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</si>
  <si>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</si>
  <si>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</si>
  <si>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</si>
  <si>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</si>
  <si>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</si>
  <si>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</si>
  <si>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</si>
  <si>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</si>
  <si>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</si>
  <si>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</si>
  <si>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</si>
  <si>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</si>
  <si>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</si>
  <si>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</si>
  <si>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</si>
  <si>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</si>
  <si>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</si>
  <si>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</si>
  <si>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</si>
  <si>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</si>
  <si>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</si>
  <si>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</si>
  <si>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</si>
  <si>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</si>
  <si>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</si>
  <si>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</si>
  <si>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</si>
  <si>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</si>
  <si>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</si>
  <si>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</si>
  <si>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</si>
  <si>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</si>
  <si>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</si>
  <si>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</si>
  <si>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</si>
  <si>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</si>
  <si>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</si>
  <si>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</si>
  <si>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</si>
  <si>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</si>
  <si>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</si>
  <si>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</si>
  <si>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</si>
  <si>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</si>
  <si>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</si>
  <si>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</si>
  <si>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</si>
  <si>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</si>
  <si>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</si>
  <si>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</si>
  <si>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</si>
  <si>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</si>
  <si>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</si>
  <si>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</si>
  <si>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</si>
  <si>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</si>
  <si>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</si>
  <si>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</si>
  <si>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</si>
  <si>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</si>
  <si>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</si>
  <si>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</si>
  <si>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</si>
  <si>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</si>
  <si>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</si>
  <si>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</si>
  <si>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</si>
  <si>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</si>
  <si>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</si>
  <si>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</si>
  <si>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Pôžičky podnikom v skupine a ostatné pôžičky  (066 + 067) - (096 AÚ)</t>
  </si>
  <si>
    <t>Obstaranie dlhodobého finančného majetku  (043) - (096 AÚ)</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</si>
  <si>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</si>
  <si>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</si>
  <si>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</si>
  <si>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</si>
  <si>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</si>
  <si>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</si>
  <si>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</si>
  <si>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</si>
  <si>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</si>
  <si>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</si>
  <si>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</si>
  <si>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</si>
  <si>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</si>
  <si>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</si>
  <si>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</si>
  <si>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</si>
  <si>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</si>
  <si>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</si>
  <si>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</si>
  <si>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</si>
  <si>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</si>
  <si>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t>T22_V1</t>
  </si>
  <si>
    <t>T23_V1</t>
  </si>
  <si>
    <t>T24_V1</t>
  </si>
  <si>
    <t>T25_V1</t>
  </si>
  <si>
    <t>Tabuľka 22</t>
  </si>
  <si>
    <t>Tabuľka 23</t>
  </si>
  <si>
    <t>Tabuľka 25</t>
  </si>
  <si>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</si>
  <si>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</si>
  <si>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</si>
  <si>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</si>
  <si>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</si>
  <si>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</si>
  <si>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</si>
  <si>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</si>
  <si>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</si>
  <si>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</si>
  <si>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</si>
  <si>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</si>
  <si>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</si>
  <si>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</si>
  <si>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</si>
  <si>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</si>
  <si>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</si>
  <si>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</si>
  <si>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</si>
  <si>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</si>
  <si>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</si>
  <si>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</si>
  <si>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</si>
  <si>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Tabuľka č. 6 poskytuje informácie o počte a štruktúre zamestnancov a objeme nákladov na mzdy verejnej vysokej školy (bez odvodov).</t>
  </si>
  <si>
    <t>A. NEOBEŽNÝ MAJETOK SPOLU r. 002 + 009 + 021</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</si>
  <si>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</si>
  <si>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</si>
  <si>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</si>
  <si>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</si>
  <si>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</si>
  <si>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</si>
  <si>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</si>
  <si>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</si>
  <si>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</si>
  <si>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</si>
  <si>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</si>
  <si>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</si>
  <si>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</si>
  <si>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</si>
  <si>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</si>
  <si>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</si>
  <si>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</si>
  <si>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</si>
  <si>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</si>
  <si>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</si>
  <si>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</si>
  <si>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</si>
  <si>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</si>
  <si>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</si>
  <si>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</si>
  <si>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</si>
  <si>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</si>
  <si>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</si>
  <si>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</si>
  <si>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</si>
  <si>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</si>
  <si>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</si>
  <si>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</si>
  <si>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</si>
  <si>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</si>
  <si>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</si>
  <si>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</si>
  <si>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</si>
  <si>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</si>
  <si>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</si>
  <si>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</si>
  <si>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</si>
  <si>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</si>
  <si>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</si>
  <si>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</si>
  <si>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</si>
  <si>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</si>
  <si>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</si>
  <si>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</si>
  <si>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</si>
  <si>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</si>
  <si>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</si>
  <si>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</si>
  <si>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</si>
  <si>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</si>
  <si>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</si>
  <si>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</si>
  <si>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</si>
  <si>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</si>
  <si>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</si>
  <si>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</si>
  <si>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</si>
  <si>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</si>
  <si>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</si>
  <si>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</si>
  <si>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</si>
  <si>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</si>
  <si>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</si>
  <si>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</si>
  <si>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</si>
  <si>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</si>
  <si>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</si>
  <si>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</si>
  <si>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</si>
  <si>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</si>
  <si>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</si>
  <si>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</si>
  <si>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</si>
  <si>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</si>
  <si>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</si>
  <si>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</si>
  <si>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</si>
  <si>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</si>
  <si>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</si>
  <si>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</si>
  <si>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</si>
  <si>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</si>
  <si>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</si>
  <si>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</si>
  <si>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</si>
  <si>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</si>
  <si>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</si>
  <si>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</si>
  <si>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</si>
  <si>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</si>
  <si>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</si>
  <si>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</si>
  <si>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</si>
  <si>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</si>
  <si>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</si>
  <si>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</si>
  <si>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</si>
  <si>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</si>
  <si>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</si>
  <si>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</si>
  <si>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</si>
  <si>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</si>
  <si>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</si>
  <si>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</si>
  <si>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</si>
  <si>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</si>
  <si>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</si>
  <si>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</si>
  <si>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</si>
  <si>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</si>
  <si>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</si>
  <si>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</si>
  <si>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</si>
  <si>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</si>
  <si>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</si>
  <si>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</si>
  <si>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</si>
  <si>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</si>
  <si>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</si>
  <si>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</si>
  <si>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</si>
  <si>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</si>
  <si>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</si>
  <si>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</si>
  <si>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</si>
  <si>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</si>
  <si>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</si>
  <si>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</si>
  <si>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</si>
  <si>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</si>
  <si>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</si>
  <si>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</si>
  <si>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</si>
  <si>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</si>
  <si>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</si>
  <si>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</si>
  <si>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</si>
  <si>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</si>
  <si>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</si>
  <si>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</si>
  <si>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</si>
  <si>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</si>
  <si>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</si>
  <si>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</si>
  <si>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</si>
  <si>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</si>
  <si>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</si>
  <si>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</si>
  <si>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</si>
  <si>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</si>
  <si>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</si>
  <si>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V týchto riadkoch uvedie verejná vysoká škola všetky osobitne financované súčasti (špecifiká), každú na zvláštny riadok.</t>
  </si>
  <si>
    <t>Základné imanie    (411)</t>
  </si>
  <si>
    <t>Fond reprodukcie   (413)</t>
  </si>
  <si>
    <t>Tabuľka 24a</t>
  </si>
  <si>
    <t>Tabuľka 24b</t>
  </si>
  <si>
    <t>- ostatné energie</t>
  </si>
  <si>
    <t>Súvzťažnosti</t>
  </si>
  <si>
    <t>Samostatné hnuteľné veci a súbory hnuteľných vecí  (022) - (082 + 092 AÚ)</t>
  </si>
  <si>
    <r>
      <t xml:space="preserve">2) všetky údaje o výnosoch a nákladoch  sa uvádzajú </t>
    </r>
    <r>
      <rPr>
        <sz val="11"/>
        <rFont val="Times New Roman"/>
        <family val="1"/>
        <charset val="238"/>
      </rPr>
      <t>v Eur</t>
    </r>
  </si>
  <si>
    <r>
      <t xml:space="preserve">Príjem z dotácie na motivačné štipendiá z kapitoly MŠVVaŠ SR v kalendárnom roku </t>
    </r>
    <r>
      <rPr>
        <b/>
        <vertAlign val="superscript"/>
        <sz val="12"/>
        <rFont val="Times New Roman"/>
        <family val="1"/>
        <charset val="238"/>
      </rPr>
      <t>1)</t>
    </r>
    <r>
      <rPr>
        <sz val="12"/>
        <rFont val="Times New Roman"/>
        <family val="1"/>
        <charset val="238"/>
      </rPr>
      <t xml:space="preserve"> </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</si>
  <si>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</si>
  <si>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</si>
  <si>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</si>
  <si>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</si>
  <si>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</si>
  <si>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</si>
  <si>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</si>
  <si>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</si>
  <si>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</si>
  <si>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</si>
  <si>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</si>
  <si>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</si>
  <si>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T7_R11</t>
  </si>
  <si>
    <t>T13_R1_SI(SJ) = výkazníctvo súvaha, časť Pasíva,  
riadky 064 + 065 + 069 + 071 
(k 1. 1.)
T13_R12_SI(SJ) = výkazníctvo súvaha, časť Pasíva,  
riadky 064 + 065 + 069 + 071 
(k 31. 12.)</t>
  </si>
  <si>
    <t>Všeobecná poznámka č. 1</t>
  </si>
  <si>
    <t>doktorandi a doktorandské štipendiá</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</si>
  <si>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</si>
  <si>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</si>
  <si>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</si>
  <si>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</si>
  <si>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</si>
  <si>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t>T9_R6_SA_AB</t>
  </si>
  <si>
    <r>
      <t xml:space="preserve">Štipendiá z vlastných zdrojov vysokej školy (§ 97 zákona) spolu </t>
    </r>
    <r>
      <rPr>
        <sz val="12"/>
        <rFont val="Times New Roman"/>
        <family val="1"/>
        <charset val="238"/>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</si>
  <si>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</si>
  <si>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</si>
  <si>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</si>
  <si>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</si>
  <si>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</si>
  <si>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</si>
  <si>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</si>
  <si>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</si>
  <si>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</si>
  <si>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</si>
  <si>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Iné pohľadávky  (335 AÚ + 373 AÚ + 375 AÚ + 378 AÚ) - (391 AÚ)</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</si>
  <si>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</si>
  <si>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</si>
  <si>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</si>
  <si>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</si>
  <si>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</si>
  <si>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</si>
  <si>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</si>
  <si>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</si>
  <si>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</si>
  <si>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</si>
  <si>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</si>
  <si>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</si>
  <si>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</si>
  <si>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</si>
  <si>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</si>
  <si>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T11_SB_R10 = T1_SB_R15+T2_SB_R1
+T18_SB_R9</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</si>
  <si>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</si>
  <si>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</si>
  <si>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</si>
  <si>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</si>
  <si>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</si>
  <si>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</si>
  <si>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</si>
  <si>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</si>
  <si>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</si>
  <si>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T19_R1_SC + T20_R3_SB + T8_R1_SC  = T13_R11_SF</t>
  </si>
  <si>
    <t>Tabuľka 24a,b</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</si>
  <si>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</si>
  <si>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</si>
  <si>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</si>
  <si>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</si>
  <si>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</si>
  <si>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</si>
  <si>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</si>
  <si>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</si>
  <si>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</si>
  <si>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</si>
  <si>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</si>
  <si>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</si>
  <si>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</si>
  <si>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</si>
  <si>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</si>
  <si>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</si>
  <si>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</si>
  <si>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</si>
  <si>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</si>
  <si>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</si>
  <si>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</si>
  <si>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</si>
  <si>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</si>
  <si>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</si>
  <si>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</si>
  <si>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</si>
  <si>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v hlavičkách boli zmenené (aktualizované) roky</t>
  </si>
  <si>
    <t xml:space="preserve">T10_R14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</si>
  <si>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hlavného riešiteľa (údaje patria do T18). Do tejto tabuľky sa uvádzajú len dotácie z APVV pre spoluriešiteľa, ak hlavným riešiteľom je iná právnická osoba ako VVŠ. Nepatria sem prostriedky na zahraničné mobility na 05T 08 a 021 02 03.</t>
    </r>
  </si>
  <si>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11E3 a 121.</t>
    </r>
  </si>
  <si>
    <t>V T11_R10 sa uvádzajú kapitálové výdavky prijaté (cash) zo zdroja 111. Ide o dotácie z programu 077 (T1_SB_R15), z iných kapitol štátneho rozpočtu (T2_SB_R1), z kapitoly MŠVVaŠ mimo programu 077 a mimo prostriedkov z EÚ (T18_SB_R9).
 Výšku kapitálovej dotácie z iných kapitol žiadame osobitne uviesť do poznámky.</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</si>
  <si>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</si>
  <si>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Háork "Vysvetlivky"</t>
  </si>
  <si>
    <t>Hárok "Súvzťažnosti"</t>
  </si>
  <si>
    <t>všetky zmeny sú vyznačené červeným písmom</t>
  </si>
  <si>
    <t>T13_R4_SD = T5_R86_SC+SD</t>
  </si>
  <si>
    <r>
      <t xml:space="preserve">Nárok na príspevok zo štátneho rozpočtu na jedlá podľa metodiky </t>
    </r>
    <r>
      <rPr>
        <sz val="12"/>
        <rFont val="Times New Roman"/>
        <family val="1"/>
      </rPr>
      <t xml:space="preserve">                                     </t>
    </r>
  </si>
  <si>
    <t>Číslo účtu/Poznámka</t>
  </si>
  <si>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t>
    </r>
    <r>
      <rPr>
        <b/>
        <u/>
        <sz val="12"/>
        <rFont val="Times New Roman"/>
        <family val="1"/>
        <charset val="238"/>
      </rPr>
      <t>APVV pre spoluriešiteľov</t>
    </r>
    <r>
      <rPr>
        <sz val="12"/>
        <rFont val="Times New Roman"/>
        <family val="1"/>
        <charset val="238"/>
      </rPr>
      <t xml:space="preserve"> projektu, kde hlavným riešiteľom je iná právnická osoba ako VVŠ. 
</t>
    </r>
    <r>
      <rPr>
        <sz val="12"/>
        <color indexed="10"/>
        <rFont val="Times New Roman"/>
        <family val="1"/>
        <charset val="238"/>
      </rPr>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</si>
  <si>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</si>
  <si>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</si>
  <si>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</si>
  <si>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</si>
  <si>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T7_R10</t>
  </si>
  <si>
    <t>T7_SA</t>
  </si>
  <si>
    <r>
      <t xml:space="preserve">V stĺpci B sa uvedú náklady na štipendiá doktorandov </t>
    </r>
    <r>
      <rPr>
        <u/>
        <sz val="12"/>
        <rFont val="Times New Roman"/>
        <family val="1"/>
        <charset val="238"/>
      </rPr>
      <t>z neúčelovej</t>
    </r>
    <r>
      <rPr>
        <sz val="12"/>
        <rFont val="Times New Roman"/>
        <family val="1"/>
        <charset val="238"/>
      </rPr>
      <t xml:space="preserve"> dotácie na štipendiá. </t>
    </r>
  </si>
  <si>
    <t>- dary (účet 649 009) (646)</t>
  </si>
  <si>
    <t>T7_SD</t>
  </si>
  <si>
    <r>
      <t xml:space="preserve">z </t>
    </r>
    <r>
      <rPr>
        <b/>
        <sz val="12"/>
        <color indexed="17"/>
        <rFont val="Times New Roman"/>
        <family val="1"/>
        <charset val="238"/>
      </rPr>
      <t>neúčelovej</t>
    </r>
    <r>
      <rPr>
        <b/>
        <sz val="12"/>
        <color indexed="8"/>
        <rFont val="Times New Roman"/>
        <family val="1"/>
        <charset val="238"/>
      </rPr>
      <t xml:space="preserve"> dotácie MŠVVaŠ SR</t>
    </r>
  </si>
  <si>
    <t>E=A+B+C+D</t>
  </si>
  <si>
    <t>Fond na podporu štúdia študentov so špecifickými potrebami</t>
  </si>
  <si>
    <t>Účtová trieda 5 spolu r.01 až r.37</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</si>
  <si>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</si>
  <si>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</si>
  <si>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</si>
  <si>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</si>
  <si>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</si>
  <si>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</si>
  <si>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</si>
  <si>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</si>
  <si>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</si>
  <si>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</si>
  <si>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</si>
  <si>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</si>
  <si>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</si>
  <si>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</si>
  <si>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</si>
  <si>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</si>
  <si>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</si>
  <si>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</si>
  <si>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</si>
  <si>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</si>
  <si>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</si>
  <si>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</si>
  <si>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</si>
  <si>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</si>
  <si>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</si>
  <si>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</si>
  <si>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</si>
  <si>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</si>
  <si>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charset val="238"/>
      </rPr>
      <t>r.061+074+101</t>
    </r>
  </si>
  <si>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</si>
  <si>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</si>
  <si>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</si>
  <si>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</si>
  <si>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</si>
  <si>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</si>
  <si>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Náklady na štipendiá interných doktorandov (R2+R5)</t>
    </r>
    <r>
      <rPr>
        <b/>
        <sz val="12"/>
        <color indexed="8"/>
        <rFont val="Times New Roman"/>
        <family val="1"/>
        <charset val="238"/>
      </rPr>
      <t xml:space="preserve"> </t>
    </r>
    <r>
      <rPr>
        <b/>
        <vertAlign val="superscript"/>
        <sz val="12"/>
        <color indexed="8"/>
        <rFont val="Times New Roman"/>
        <family val="1"/>
        <charset val="238"/>
      </rPr>
      <t>1)</t>
    </r>
  </si>
  <si>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</si>
  <si>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</si>
  <si>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1) v riadku 5 sa uvedie celkový fyzický počet študentov (pričom 1 študent sa počíta za 1 fyzickú osobu), ktorým bolo vyplatené motivačné štipendium v kalendárnom roku </t>
  </si>
  <si>
    <t xml:space="preserve">- za prijímacie konanie (§ 92 ods. 12 zákona) (účet 649 003) </t>
  </si>
  <si>
    <t xml:space="preserve">- za rigorózne konanie (§ 92 ods. 13 zákona) (účet 649 004) </t>
  </si>
  <si>
    <t xml:space="preserve">- za vydanie diplomu za rigorózne konanie (§ 92 ods. 14 zákona)  (účet 649 005) </t>
  </si>
  <si>
    <r>
      <t>T13_R2_SC (SD) = T11_R2_SA (SB) 
T13_R8_SF ≥ T8_R5_SC + T20_R2_SB</t>
    </r>
    <r>
      <rPr>
        <sz val="12"/>
        <rFont val="Times New Roman"/>
        <family val="1"/>
        <charset val="238"/>
      </rPr>
      <t xml:space="preserve">
T13_R13_SD = T16_R13_SB
T13_R13_SF = T16_R10_SB</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</si>
  <si>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</si>
  <si>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T1_R15_SB ≤ T11_R10_SB,
T1_R12_SA = T8_R5_SC
T1_R13_SA = T20_R2_(SB)</t>
  </si>
  <si>
    <t xml:space="preserve">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
</t>
  </si>
  <si>
    <t>x</t>
  </si>
  <si>
    <t>Náklady spolu</t>
  </si>
  <si>
    <r>
      <t xml:space="preserve">  - náklady na štipendiá interných doktorandov pred dizertačnou skúškou 
(v zmysle § 54 ods. 18 písm. a) zákona </t>
    </r>
    <r>
      <rPr>
        <u/>
        <sz val="12"/>
        <color indexed="8"/>
        <rFont val="Times New Roman"/>
        <family val="1"/>
        <charset val="238"/>
      </rPr>
      <t>spolu</t>
    </r>
    <r>
      <rPr>
        <sz val="12"/>
        <color indexed="8"/>
        <rFont val="Times New Roman"/>
        <family val="1"/>
        <charset val="238"/>
      </rPr>
      <t xml:space="preserve"> (SUM(R3:R4))</t>
    </r>
  </si>
  <si>
    <r>
      <t xml:space="preserve">  - náklady na štipendiá interných doktorandov po dizertačnej skúške 
(v zmysle § 54 ods. 18 písm. b) zákona</t>
    </r>
    <r>
      <rPr>
        <u/>
        <sz val="12"/>
        <color indexed="8"/>
        <rFont val="Times New Roman"/>
        <family val="1"/>
        <charset val="238"/>
      </rPr>
      <t xml:space="preserve"> spolu</t>
    </r>
    <r>
      <rPr>
        <sz val="12"/>
        <color indexed="8"/>
        <rFont val="Times New Roman"/>
        <family val="1"/>
        <charset val="238"/>
      </rPr>
      <t xml:space="preserve"> (SUM(R6:R7))</t>
    </r>
  </si>
  <si>
    <r>
      <t xml:space="preserve">Dotácie z kapitoly MŠVVaŠ SR spolu </t>
    </r>
    <r>
      <rPr>
        <sz val="12"/>
        <rFont val="Times New Roman"/>
        <family val="1"/>
        <charset val="238"/>
      </rPr>
      <t>[R1+R4]</t>
    </r>
  </si>
  <si>
    <t>9a</t>
  </si>
  <si>
    <r>
      <t xml:space="preserve">Dotácie z iných kapitol spolu </t>
    </r>
    <r>
      <rPr>
        <sz val="12"/>
        <rFont val="Times New Roman"/>
        <family val="1"/>
        <charset val="238"/>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</si>
  <si>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</si>
  <si>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</si>
  <si>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</si>
  <si>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</si>
  <si>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T5_R90_(SA+AB)=T13_R5_SC
T5_R90_(SC+AD)=T13_R5_SD</t>
  </si>
  <si>
    <t>Náklady sú kontrolované na údaje z výkazníctva - tvorba fondu z predaného majetku</t>
  </si>
  <si>
    <t xml:space="preserve">T5_3
</t>
  </si>
  <si>
    <t>T13_V7</t>
  </si>
  <si>
    <t>T13_R5_SC=T5_R90_(SA+SC)
T13_R5_SD=T5_R90_(SC+SD)</t>
  </si>
  <si>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</si>
  <si>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</si>
  <si>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</si>
  <si>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</si>
  <si>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</si>
  <si>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</si>
  <si>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ostatný materiál (účet 501 099, 501 030, 501 599, 501 100)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</si>
  <si>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</si>
  <si>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</si>
  <si>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</si>
  <si>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</si>
  <si>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</si>
  <si>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</si>
  <si>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</si>
  <si>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</si>
  <si>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</si>
  <si>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</si>
  <si>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iné analyticky sledované náklady (účty 518 003, 518 013, 518 015-018, 518 020-030, 518 031-034, 518 040, 518 041,518 599) </t>
  </si>
  <si>
    <t xml:space="preserve"> - MZDY (účty 521 001-008, 521 012, 521 013, 581 003)</t>
  </si>
  <si>
    <t xml:space="preserve"> - odpisy DN a HM nadobudnutého z kapitálových dotácií zo ŠR 
(účet 551 100, 551 121, 551 123, 551 001, 551 003)</t>
  </si>
  <si>
    <t xml:space="preserve"> - ostatné náklady z účtovej skupiny 55 (účty 552, 553, 554, 557, 558, 559)</t>
  </si>
  <si>
    <t>- náklady na tvorbu fondu reprodukcie (účet 556 400) (z predaja majetku)</t>
  </si>
  <si>
    <t>Pozn.</t>
  </si>
  <si>
    <r>
      <t xml:space="preserve">v R90 ide o náklady na tvorbu FR </t>
    </r>
    <r>
      <rPr>
        <i/>
        <sz val="12"/>
        <rFont val="Times New Roman"/>
        <family val="1"/>
        <charset val="238"/>
      </rPr>
      <t>z predaja majetku = T11R5=T13R5</t>
    </r>
  </si>
  <si>
    <t>Podielové cenné papiere a podiely v obchodných spoločnostiach v ovládanej osobe  (061 - 096 AÚ)</t>
  </si>
  <si>
    <t>Podielové cenné papiere a podiely v obchodných spoločnostiach s podstatným vplyvom  (062 - 096 AÚ)</t>
  </si>
  <si>
    <t>Dlhové cenné papiere držané do splatnosti  (065 - 096 AÚ)</t>
  </si>
  <si>
    <t xml:space="preserve">Ostatný dlhodobý finančný majetok (069 - 096 AÚ) </t>
  </si>
  <si>
    <t>Poskytnuté preddavky na dlhodobý fin. majetok (053 - 096 AÚ)</t>
  </si>
  <si>
    <t>Pohľadávky z dôvodu finančných vzťahov k ŠR a rozpočtom územnej samosprávy (346+348)</t>
  </si>
  <si>
    <t>- poplatky spojené so štúdiom (účet 649 003-006)</t>
  </si>
  <si>
    <t>- iné analyticky sledované výnosy (účty 602 002-007, 602 011-18, 602 099, 602 199)</t>
  </si>
  <si>
    <t xml:space="preserve">T20_R2_SB+T20_R2_SC = T1_R13_SA </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</si>
  <si>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</si>
  <si>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</si>
  <si>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r>
      <t>Iné ostatné výnosy (účet 649)</t>
    </r>
    <r>
      <rPr>
        <sz val="12"/>
        <color indexed="8"/>
        <rFont val="Times New Roman"/>
        <family val="1"/>
      </rPr>
      <t xml:space="preserve"> [SUM(R21:R33)]</t>
    </r>
  </si>
  <si>
    <r>
      <t>- fondu reprodukcie (účet 656 400)</t>
    </r>
    <r>
      <rPr>
        <vertAlign val="superscript"/>
        <sz val="12"/>
        <color indexed="8"/>
        <rFont val="Times New Roman"/>
        <family val="1"/>
      </rPr>
      <t xml:space="preserve"> 2)</t>
    </r>
  </si>
  <si>
    <r>
      <t>Spotreba materiálu (účet 501)</t>
    </r>
    <r>
      <rPr>
        <sz val="12"/>
        <color indexed="8"/>
        <rFont val="Times New Roman"/>
        <family val="1"/>
      </rPr>
      <t xml:space="preserve"> [SUM(R2:R13)]</t>
    </r>
  </si>
  <si>
    <r>
      <t>Spotreba energie (účet 502)</t>
    </r>
    <r>
      <rPr>
        <sz val="12"/>
        <color indexed="8"/>
        <rFont val="Times New Roman"/>
        <family val="1"/>
      </rPr>
      <t xml:space="preserve"> [SUM(R15:R20)]</t>
    </r>
  </si>
  <si>
    <r>
      <t>Predaný tovar (účet 504)</t>
    </r>
    <r>
      <rPr>
        <sz val="12"/>
        <color indexed="8"/>
        <rFont val="Times New Roman"/>
        <family val="1"/>
      </rPr>
      <t xml:space="preserve"> [SUM(R23:R26)]</t>
    </r>
  </si>
  <si>
    <r>
      <t>Opravy a udržiavanie (účet 511)</t>
    </r>
    <r>
      <rPr>
        <sz val="12"/>
        <color indexed="8"/>
        <rFont val="Times New Roman"/>
        <family val="1"/>
      </rPr>
      <t xml:space="preserve"> [SUM(R28:R34)]</t>
    </r>
  </si>
  <si>
    <r>
      <t>Cestovné (účet 512)</t>
    </r>
    <r>
      <rPr>
        <sz val="12"/>
        <color indexed="8"/>
        <rFont val="Times New Roman"/>
        <family val="1"/>
      </rPr>
      <t xml:space="preserve"> [SUM(R36:R37)]</t>
    </r>
  </si>
  <si>
    <r>
      <t>Ostatné služby (účet 518)</t>
    </r>
    <r>
      <rPr>
        <sz val="12"/>
        <color indexed="8"/>
        <rFont val="Times New Roman"/>
        <family val="1"/>
      </rPr>
      <t xml:space="preserve"> [SUM(R40:R54)]</t>
    </r>
  </si>
  <si>
    <r>
      <t>Mzdové náklady (účet 521)</t>
    </r>
    <r>
      <rPr>
        <sz val="12"/>
        <color indexed="8"/>
        <rFont val="Times New Roman"/>
        <family val="1"/>
      </rPr>
      <t xml:space="preserve">  [SUM(R56:R57)]</t>
    </r>
  </si>
  <si>
    <r>
      <t>Ostatné náklady (účtová skupina 54)</t>
    </r>
    <r>
      <rPr>
        <sz val="12"/>
        <color indexed="8"/>
        <rFont val="Times New Roman"/>
        <family val="1"/>
      </rPr>
      <t xml:space="preserve"> [R75+ R76]</t>
    </r>
  </si>
  <si>
    <t xml:space="preserve"> - odpisy ostatného DN a HM (účet 551 200, 221, 223, 400, 900, 921, 923)</t>
  </si>
  <si>
    <t xml:space="preserve"> - odpisy DN a HM nadobudnutého z kapitálových dotácií z EÚ (zo štrukturálnych fondov) (účet 551 300, 321, 323)</t>
  </si>
  <si>
    <r>
      <t>Poskytnuté príspevky</t>
    </r>
    <r>
      <rPr>
        <sz val="12"/>
        <color indexed="8"/>
        <rFont val="Times New Roman"/>
        <family val="1"/>
      </rPr>
      <t xml:space="preserve"> </t>
    </r>
    <r>
      <rPr>
        <b/>
        <sz val="12"/>
        <color indexed="8"/>
        <rFont val="Times New Roman"/>
        <family val="1"/>
      </rPr>
      <t>(účtová skupina 56)</t>
    </r>
  </si>
  <si>
    <t>(uviesť zoznam všetkých dotácií, každú na zvláštny riadok, napr. podprogram 026 05)</t>
  </si>
  <si>
    <t>Náklady
hlavnej činnosti
2014</t>
  </si>
  <si>
    <t>Poskytnuté prevádzkové preddavky  na zásoby (314 AÚ - 391 AÚ)</t>
  </si>
  <si>
    <t xml:space="preserve">príjmy verejnej vysokej školy  v roku 2014 majúce charakter dotácie </t>
  </si>
  <si>
    <t>Tabuľka č. 20 poskytuje informácie  o príjmoch a výdavkoch vysokej školy na motivačné štipendiá a o počte študentov, ktorí ich poberajú v zmysle § 96a  zákona.</t>
  </si>
  <si>
    <r>
      <t xml:space="preserve">Počet študentov, ktorým bolo priznané motivačné štipendium </t>
    </r>
    <r>
      <rPr>
        <b/>
        <vertAlign val="superscript"/>
        <sz val="12"/>
        <rFont val="Times New Roman"/>
        <family val="1"/>
        <charset val="238"/>
      </rPr>
      <t>1)</t>
    </r>
  </si>
  <si>
    <t>uvádzajú sa štipendiá vyplatené zo štátneho rozpočtu, kód v CRŠ: 1</t>
  </si>
  <si>
    <t>T8_R1</t>
  </si>
  <si>
    <t>T20_R3</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</si>
  <si>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</si>
  <si>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</si>
  <si>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</si>
  <si>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</si>
  <si>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</si>
  <si>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</si>
  <si>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</si>
  <si>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</si>
  <si>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</si>
  <si>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</si>
  <si>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</si>
  <si>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</si>
  <si>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</si>
  <si>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</si>
  <si>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</si>
  <si>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</si>
  <si>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</si>
  <si>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</si>
  <si>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</si>
  <si>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</si>
  <si>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</si>
  <si>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</si>
  <si>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 xml:space="preserve">Pohľadávky z obchodného styku (311 AÚ až 314 AÚ) - 391 AÚ) </t>
  </si>
  <si>
    <t>z účelovej dotácie MŠVVaŠ SR
(kódy 10, 11)</t>
  </si>
  <si>
    <t>DrŠ</t>
  </si>
  <si>
    <t xml:space="preserve">  - náklady na štipendiá vo výške 9. platovej triedy a 1. platového stupňa 
( v CRŠ kód 10 )</t>
  </si>
  <si>
    <t xml:space="preserve">  - náklady na štipendiá vo výške 10. platovej triedy a 1. platového stupňa 
( v CRŠ kód 11 )</t>
  </si>
  <si>
    <t>zvýšenie PhD. štipendia z Neúčel D MSSR</t>
  </si>
  <si>
    <t>T4_R3</t>
  </si>
  <si>
    <t>T4_R5</t>
  </si>
  <si>
    <t>- iné analyticky sledované náklady (účet 511 006-008, 511 056)</t>
  </si>
  <si>
    <t xml:space="preserve"> - poistné náklady (havarijné, majetok, na študentov) (účet 549 004, 549 014, 549 015, 549 054)</t>
  </si>
  <si>
    <t xml:space="preserve"> - ostatné iné náklady (účet 549 098, 549 099, 549 013, 549 599)</t>
  </si>
  <si>
    <r>
      <t>Výnosy zo školného</t>
    </r>
    <r>
      <rPr>
        <sz val="12"/>
        <color indexed="8"/>
        <rFont val="Times New Roman"/>
        <family val="1"/>
      </rPr>
      <t xml:space="preserve">  [sum(R2:R6)]</t>
    </r>
  </si>
  <si>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</si>
  <si>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Priemerné platy</t>
  </si>
  <si>
    <t>I=H/D/12</t>
  </si>
  <si>
    <t>- vysokoškolskí učitelia s funkčným zaradením "profesor"                 *)</t>
  </si>
  <si>
    <t>*) medzi profesorov sa započítava aj funkčné zaradenie "hosťujúci profesor"</t>
  </si>
  <si>
    <r>
      <t xml:space="preserve">Kategória zamestnancov - </t>
    </r>
    <r>
      <rPr>
        <b/>
        <sz val="12"/>
        <color indexed="10"/>
        <rFont val="Times New Roman"/>
        <family val="1"/>
        <charset val="238"/>
      </rPr>
      <t>žien</t>
    </r>
    <r>
      <rPr>
        <b/>
        <sz val="12"/>
        <rFont val="Times New Roman"/>
        <family val="1"/>
      </rPr>
      <t xml:space="preserve">
</t>
    </r>
  </si>
  <si>
    <t>Tabuľka 6a</t>
  </si>
  <si>
    <t>náklady na mzdy žien</t>
  </si>
  <si>
    <t>- za prekročenie štandardnej dĺžky štúdia v dennej forme (§ 92 ods. 6) (649 001)</t>
  </si>
  <si>
    <t>- za externú formu štúdia (§ 92 ods. 4) (649 020)</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</si>
  <si>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</si>
  <si>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</si>
  <si>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</si>
  <si>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</si>
  <si>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</si>
  <si>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</si>
  <si>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za vydanie dokladov o štúdiu a ich kópií (§ 92 ods. 15 zákona) (účet 649 006)</t>
  </si>
  <si>
    <t>93a</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</si>
  <si>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</si>
  <si>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</si>
  <si>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</si>
  <si>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</si>
  <si>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</si>
  <si>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r>
      <t xml:space="preserve">Výnosy z použitia fondov (účet 656) </t>
    </r>
    <r>
      <rPr>
        <b/>
        <sz val="12"/>
        <color indexed="10"/>
        <rFont val="Times New Roman"/>
        <family val="1"/>
        <charset val="238"/>
      </rPr>
      <t>[SUM(R40:R44)</t>
    </r>
    <r>
      <rPr>
        <b/>
        <sz val="12"/>
        <color indexed="8"/>
        <rFont val="Times New Roman"/>
        <family val="1"/>
      </rPr>
      <t xml:space="preserve">]  </t>
    </r>
    <r>
      <rPr>
        <b/>
        <vertAlign val="superscript"/>
        <sz val="12"/>
        <color indexed="8"/>
        <rFont val="Times New Roman"/>
        <family val="1"/>
      </rPr>
      <t xml:space="preserve"> 1)</t>
    </r>
  </si>
  <si>
    <t>Tabuľka č. 6a poskytuje informácie o počte a štruktúre žien a objeme nákladov na mzdy verejnej vysokej školy (bez odvodov).</t>
  </si>
  <si>
    <r>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t>
    </r>
    <r>
      <rPr>
        <sz val="12"/>
        <color indexed="10"/>
        <rFont val="Times New Roman"/>
        <family val="1"/>
        <charset val="238"/>
      </rPr>
      <t xml:space="preserve"> 0132 až po 0144</t>
    </r>
    <r>
      <rPr>
        <sz val="12"/>
        <rFont val="Times New Roman"/>
        <family val="1"/>
        <charset val="238"/>
      </rPr>
      <t xml:space="preserve"> štatistického výkazu Škol (MŠ SR) 2-04).</t>
    </r>
  </si>
  <si>
    <t>Hárok "Kódy vyplácaných štipendií z CRŠ"</t>
  </si>
  <si>
    <t xml:space="preserve">1) V R40-43 sa uvedú výnosy účtované v súvislosti s použitím  príslušného fondu.  </t>
  </si>
  <si>
    <t>Stav fondu k 1. 1. kalendárneho roku  v R1 sa  rovná stavu fondu k 31.12. predchádzajúceho roku v R12.</t>
  </si>
  <si>
    <t>T17_R8</t>
  </si>
  <si>
    <t>T4_R12,13</t>
  </si>
  <si>
    <t>T20_R2</t>
  </si>
  <si>
    <r>
      <t xml:space="preserve">Tabuľka č. 24a, 24b poskytuje informácie o súvahe  "Aktíva"- sumár za VVŠ. </t>
    </r>
    <r>
      <rPr>
        <sz val="12"/>
        <rFont val="Times New Roman"/>
        <family val="1"/>
        <charset val="238"/>
      </rPr>
      <t xml:space="preserve"> Údaje sa uvádzajú s presnosťou na dve desatinné miesta.</t>
    </r>
  </si>
  <si>
    <r>
      <t xml:space="preserve">Tabuľka č. 25 poskytuje informácie o súvahe "Pasíva" - sumár za VVŠ.  </t>
    </r>
    <r>
      <rPr>
        <sz val="12"/>
        <rFont val="Times New Roman"/>
        <family val="1"/>
        <charset val="238"/>
      </rPr>
      <t>Údaje sa uvádzajú s presnosťou na dve desatinné miesta.</t>
    </r>
  </si>
  <si>
    <t xml:space="preserve">nový hárok </t>
  </si>
  <si>
    <r>
      <t>K=A+C+E+</t>
    </r>
    <r>
      <rPr>
        <sz val="12"/>
        <color indexed="10"/>
        <rFont val="Times New Roman"/>
        <family val="1"/>
        <charset val="238"/>
      </rPr>
      <t>G</t>
    </r>
    <r>
      <rPr>
        <sz val="12"/>
        <color indexed="8"/>
        <rFont val="Times New Roman"/>
        <family val="1"/>
        <charset val="238"/>
      </rPr>
      <t>+I</t>
    </r>
  </si>
  <si>
    <r>
      <t>L=B+D+F+</t>
    </r>
    <r>
      <rPr>
        <sz val="12"/>
        <color indexed="10"/>
        <rFont val="Times New Roman"/>
        <family val="1"/>
        <charset val="238"/>
      </rPr>
      <t>H</t>
    </r>
    <r>
      <rPr>
        <sz val="12"/>
        <color indexed="8"/>
        <rFont val="Times New Roman"/>
        <family val="1"/>
        <charset val="238"/>
      </rPr>
      <t>+J</t>
    </r>
  </si>
  <si>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</si>
  <si>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</si>
  <si>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</si>
  <si>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</si>
  <si>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</si>
  <si>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</si>
  <si>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r>
      <t xml:space="preserve">Spolu </t>
    </r>
    <r>
      <rPr>
        <sz val="12"/>
        <rFont val="Times New Roman"/>
        <family val="1"/>
      </rPr>
      <t>[R1+R6+SUM(R11:R16)+R19+R20+SUM(R34:R39)+SUM</t>
    </r>
    <r>
      <rPr>
        <sz val="12"/>
        <color indexed="10"/>
        <rFont val="Times New Roman"/>
        <family val="1"/>
        <charset val="238"/>
      </rPr>
      <t>(R45:49</t>
    </r>
    <r>
      <rPr>
        <strike/>
        <sz val="12"/>
        <color indexed="10"/>
        <rFont val="Times New Roman"/>
        <family val="1"/>
        <charset val="238"/>
      </rPr>
      <t>51</t>
    </r>
    <r>
      <rPr>
        <sz val="12"/>
        <color indexed="10"/>
        <rFont val="Times New Roman"/>
        <family val="1"/>
        <charset val="238"/>
      </rPr>
      <t>)+51]</t>
    </r>
  </si>
  <si>
    <t>Tabuľka 3a</t>
  </si>
  <si>
    <t>nová tabuľka</t>
  </si>
  <si>
    <t>Tabuľka 5a</t>
  </si>
  <si>
    <t>501 Spotreba materiálu</t>
  </si>
  <si>
    <t>502 Spotreba energie</t>
  </si>
  <si>
    <t>504 Predaný tovar</t>
  </si>
  <si>
    <t>511 Opravy a udržiavanie</t>
  </si>
  <si>
    <t>512 Cestovné</t>
  </si>
  <si>
    <t>513 Náklady na reprezentáciu</t>
  </si>
  <si>
    <t>518 Ostatné služby</t>
  </si>
  <si>
    <t>521 Mzdové náklady</t>
  </si>
  <si>
    <t>524 Zákonné sociálne poistenie a zdravotné poistenie</t>
  </si>
  <si>
    <t>525 Ostatné sociálne poistenie</t>
  </si>
  <si>
    <t>527 Zákonné sociálne náklady</t>
  </si>
  <si>
    <t>528 Ostatné sociálne náklady</t>
  </si>
  <si>
    <t>531 Daň z motorových vozidiel</t>
  </si>
  <si>
    <t>532 Daň z nehnuteľností</t>
  </si>
  <si>
    <t>538 Ostatné dane a poplatky</t>
  </si>
  <si>
    <t>541 Zmluvné pokuty a penále</t>
  </si>
  <si>
    <t>542 Ostatné pokuty a penále</t>
  </si>
  <si>
    <t>543 Odpísanie pohľadávky</t>
  </si>
  <si>
    <t>544 Úroky</t>
  </si>
  <si>
    <t>545 Kurzové straty</t>
  </si>
  <si>
    <t>546 Dary</t>
  </si>
  <si>
    <t>547 Osobitné náklady</t>
  </si>
  <si>
    <t>548 Manká a škody</t>
  </si>
  <si>
    <t>549 Iné ostatné náklady</t>
  </si>
  <si>
    <t>551 Odpisy dlhodobého nehmotného majetku a dlhodobého hmot</t>
  </si>
  <si>
    <t>552 Zostatková cena predaného dlhodobého nehmotného majetku</t>
  </si>
  <si>
    <t>553 Predané cenné papiere</t>
  </si>
  <si>
    <t>554 Predaný materiál</t>
  </si>
  <si>
    <t>555 Náklady na krátkodobý finančný majetok</t>
  </si>
  <si>
    <t>556 Tvorba fondov</t>
  </si>
  <si>
    <t>557 Náklady na precenenie cenných papierov</t>
  </si>
  <si>
    <t>558 Tvorba a zúčtovanie opravných položiek</t>
  </si>
  <si>
    <t>561 Poskytnuté príspevky organizačným zložkám</t>
  </si>
  <si>
    <t>562 Poskytnuté príspevky iným účtovným jednotkám</t>
  </si>
  <si>
    <t>563 Poskytnuté príspevky fyzickým osobám</t>
  </si>
  <si>
    <t>565 Poskytnuté príspevky z podielu zaplatenej dane</t>
  </si>
  <si>
    <t>567 Poskytnuté príspevky z verejnej zbierky</t>
  </si>
  <si>
    <t>Účtová trieda 5 spolu r. 01 až r. 37</t>
  </si>
  <si>
    <t>601 Tržby za vlastné výrobky</t>
  </si>
  <si>
    <t>602 Tržby z predaja služieb</t>
  </si>
  <si>
    <t>604 Tržby za predaný tovar</t>
  </si>
  <si>
    <t>611 Zmena stavu zásob nedokončenej výroby</t>
  </si>
  <si>
    <t>612 Zmena stavu zásob polotovarov</t>
  </si>
  <si>
    <t>613 Zmena stavu zásob výrobkov</t>
  </si>
  <si>
    <t>614 Zmena stavu zásob zvierat</t>
  </si>
  <si>
    <t>621 Aktivácia materiálu a tovaru</t>
  </si>
  <si>
    <t>622 Aktivácia vnútroorganizačných služieb</t>
  </si>
  <si>
    <t>623 Aktivácia dlhodobého nehmotného majetku</t>
  </si>
  <si>
    <t>624 Aktivácia dlhodobého hmotného majetku</t>
  </si>
  <si>
    <t>641 Zmluvné pokuty a penále</t>
  </si>
  <si>
    <t>642 Ostatné pokuty a penále</t>
  </si>
  <si>
    <t>643 Platby za odpísané pohľadávky</t>
  </si>
  <si>
    <t>644 Úroky</t>
  </si>
  <si>
    <t>645 Kurzové zisky</t>
  </si>
  <si>
    <t>646 Prijaté dary</t>
  </si>
  <si>
    <t>647 Osobitné výnosy</t>
  </si>
  <si>
    <t>648 Zákonné poplatky</t>
  </si>
  <si>
    <t>649 Iné ostatné výnosy</t>
  </si>
  <si>
    <t>651 Tržby z predaja dlhodobého nehmotného majetku</t>
  </si>
  <si>
    <t>652 Výnosy z dlhodobého finančného majetku</t>
  </si>
  <si>
    <t>653 Tržby z predaja cenných papierov a podielov</t>
  </si>
  <si>
    <t>654 Tržby z predaja materiálu</t>
  </si>
  <si>
    <t>655 Výnosy z krátkodobého finančného majetku</t>
  </si>
  <si>
    <t>656 Výnosy z použitia fondu</t>
  </si>
  <si>
    <t>657 Výnosy z precenenia cenných papierov</t>
  </si>
  <si>
    <t>658 Výnosy z nájmu majetku</t>
  </si>
  <si>
    <t>661 Prijaté príspevky od organizačných zložiek</t>
  </si>
  <si>
    <t>662 Prijaté príspevky od iných organizácií</t>
  </si>
  <si>
    <t>663 Prijaté príspevky od fyzických osôb</t>
  </si>
  <si>
    <t>664 Prijaté členské príspevky</t>
  </si>
  <si>
    <t>665 Príspevky z podielu zaplatenej dane</t>
  </si>
  <si>
    <t>667 Prijaté príspevky z verejných zbierok</t>
  </si>
  <si>
    <t>691 Dotácie</t>
  </si>
  <si>
    <t>Účtová trieda 6 spolu r. 39 až r. 73</t>
  </si>
  <si>
    <t>Výsledok hospodárenia pred zdanením r. 74 - r. 38</t>
  </si>
  <si>
    <t>591 Daň z príjmov</t>
  </si>
  <si>
    <t>595 Dodatočné odvody dane z príjmov</t>
  </si>
  <si>
    <t>Výsledok hospodárenia po zdanení (r. 75 - (r. 76 + r. 77) )</t>
  </si>
  <si>
    <t>- za vydanie dokladov o absolvovaní štúdia v štátnom jazyku a v jazyku požadovanom študentom a ich kópií  (§ 92 ods. 15 zákona) (účet 649 024)</t>
  </si>
  <si>
    <r>
      <t xml:space="preserve"> - za uznávanie rovnocennosti dokladov o štúdiu (§ 92 ods. 15 zákona) (účet 649 025) </t>
    </r>
    <r>
      <rPr>
        <vertAlign val="superscript"/>
        <sz val="12"/>
        <rFont val="Times New Roman"/>
        <family val="1"/>
        <charset val="238"/>
      </rPr>
      <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</si>
  <si>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</si>
  <si>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2014 a 2015</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</si>
  <si>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2014 a 2015 </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</si>
  <si>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t>
    </r>
    <r>
      <rPr>
        <b/>
        <sz val="14"/>
        <color rgb="FFFF0000"/>
        <rFont val="Times New Roman"/>
        <family val="1"/>
        <charset val="238"/>
      </rPr>
      <t xml:space="preserve">5  </t>
    </r>
    <r>
      <rPr>
        <b/>
        <sz val="14"/>
        <rFont val="Times New Roman"/>
        <family val="1"/>
      </rPr>
      <t xml:space="preserve">na programe 077 </t>
    </r>
  </si>
  <si>
    <r>
      <t>Tabuľka č. 2: Príjmy verejnej vysokej školy v roku 201</t>
    </r>
    <r>
      <rPr>
        <b/>
        <sz val="14"/>
        <color rgb="FFFF0000"/>
        <rFont val="Times New Roman"/>
        <family val="1"/>
        <charset val="238"/>
      </rPr>
      <t xml:space="preserve">5 </t>
    </r>
    <r>
      <rPr>
        <b/>
        <sz val="14"/>
        <rFont val="Times New Roman"/>
        <family val="1"/>
        <charset val="238"/>
      </rPr>
      <t>majúce charakter dotácie okrem príjmov z dotácií 
 z  kapitoly MŠVVaŠ SR a okrem  prostriedkov EÚ  (štrukturálnych  fondov)</t>
    </r>
  </si>
  <si>
    <r>
      <t>Tabuľka č. 18: Príjmy z dotácií verejnej vysokej škole zo štátneho rozpočtu z kapitoly MŠVVaŠ SR 
poskytnuté mimo programu 077 a mimo príjmov z prostriedkov EÚ (zo štrukturálnych fondov) v roku 201</t>
    </r>
    <r>
      <rPr>
        <b/>
        <sz val="14"/>
        <color rgb="FFFF0000"/>
        <rFont val="Times New Roman"/>
        <family val="1"/>
        <charset val="238"/>
      </rPr>
      <t>5</t>
    </r>
    <r>
      <rPr>
        <sz val="14"/>
        <color rgb="FFFF0000"/>
        <rFont val="Times New Roman"/>
        <family val="1"/>
        <charset val="238"/>
      </rPr>
      <t xml:space="preserve"> </t>
    </r>
    <r>
      <rPr>
        <sz val="14"/>
        <rFont val="Times New Roman"/>
        <family val="1"/>
      </rPr>
      <t xml:space="preserve">
</t>
    </r>
  </si>
  <si>
    <r>
      <t>Tabuľka č. 24a: Súvaha k 31. 12. 201</t>
    </r>
    <r>
      <rPr>
        <b/>
        <sz val="14"/>
        <color rgb="FFFF0000"/>
        <rFont val="Times New Roman"/>
        <family val="1"/>
        <charset val="238"/>
      </rPr>
      <t>5</t>
    </r>
    <r>
      <rPr>
        <b/>
        <sz val="14"/>
        <rFont val="Times New Roman"/>
        <family val="1"/>
      </rPr>
      <t xml:space="preserve"> - Strana aktív 1. časť</t>
    </r>
  </si>
  <si>
    <r>
      <t>Tabuľka č. 24b: Súvaha k 31. 12. 201</t>
    </r>
    <r>
      <rPr>
        <b/>
        <sz val="14"/>
        <color rgb="FFFF0000"/>
        <rFont val="Times New Roman"/>
        <family val="1"/>
        <charset val="238"/>
      </rPr>
      <t>5</t>
    </r>
    <r>
      <rPr>
        <b/>
        <sz val="14"/>
        <rFont val="Times New Roman"/>
        <family val="1"/>
      </rPr>
      <t xml:space="preserve"> - Strana aktív 2. časť </t>
    </r>
  </si>
  <si>
    <r>
      <t>Tabuľka č. 25: Súvaha k 31.12. 201</t>
    </r>
    <r>
      <rPr>
        <b/>
        <sz val="14"/>
        <color rgb="FFFF0000"/>
        <rFont val="Times New Roman"/>
        <family val="1"/>
        <charset val="238"/>
      </rPr>
      <t>5</t>
    </r>
    <r>
      <rPr>
        <b/>
        <sz val="14"/>
        <rFont val="Times New Roman"/>
        <family val="1"/>
      </rPr>
      <t xml:space="preserve"> - Strana pasív </t>
    </r>
  </si>
  <si>
    <r>
      <t xml:space="preserve">Ostatné dlhodobé záväzky </t>
    </r>
    <r>
      <rPr>
        <sz val="9"/>
        <rFont val="Times New Roman"/>
        <family val="1"/>
        <charset val="238"/>
      </rPr>
      <t xml:space="preserve"> </t>
    </r>
    <r>
      <rPr>
        <sz val="12"/>
        <rFont val="Times New Roman"/>
        <family val="1"/>
        <charset val="238"/>
      </rPr>
      <t>(373 AÚ+ 479 AÚ)</t>
    </r>
  </si>
  <si>
    <r>
      <t>Údaje v T18_R1 sú kontrolované na  rozpis bežnej a kapitálovej dotácie na programe 06K v roku 201</t>
    </r>
    <r>
      <rPr>
        <sz val="12"/>
        <color rgb="FF00B050"/>
        <rFont val="Times New Roman"/>
        <family val="1"/>
        <charset val="238"/>
      </rPr>
      <t>5</t>
    </r>
    <r>
      <rPr>
        <sz val="12"/>
        <rFont val="Times New Roman"/>
        <family val="1"/>
        <charset val="238"/>
      </rPr>
      <t xml:space="preserve"> poskytnuté vysokým školám mimo "dotačnej zmluvy" prostredníctvom  APVV resp. SVaT. 
Údaje v T18_R7 a R8 sú kontrolované na rozpis bežnej dotácie na podrograme 05T 08 a prvku 021 02 03 v roku 201</t>
    </r>
    <r>
      <rPr>
        <sz val="12"/>
        <color rgb="FF00B050"/>
        <rFont val="Times New Roman"/>
        <family val="1"/>
        <charset val="238"/>
      </rPr>
      <t>5</t>
    </r>
    <r>
      <rPr>
        <sz val="12"/>
        <rFont val="Times New Roman"/>
        <family val="1"/>
        <charset val="238"/>
      </rPr>
      <t xml:space="preserve">, poskytnuté vysokým školám mimo "dotačnej zmluvy" prostredníctvom sekcie medzinárodnej spolupráce.
</t>
    </r>
  </si>
  <si>
    <r>
      <t>Rozdiel 201</t>
    </r>
    <r>
      <rPr>
        <b/>
        <sz val="14"/>
        <color rgb="FFFF0000"/>
        <rFont val="Times New Roman"/>
        <family val="1"/>
        <charset val="238"/>
      </rPr>
      <t>5</t>
    </r>
    <r>
      <rPr>
        <b/>
        <sz val="14"/>
        <rFont val="Times New Roman"/>
        <family val="1"/>
      </rPr>
      <t>-201</t>
    </r>
    <r>
      <rPr>
        <b/>
        <sz val="14"/>
        <color rgb="FFFF0000"/>
        <rFont val="Times New Roman"/>
        <family val="1"/>
        <charset val="238"/>
      </rPr>
      <t>4</t>
    </r>
  </si>
  <si>
    <t>Rozdiel 2015-2014</t>
  </si>
  <si>
    <r>
      <t>Tabuľka č. 4: Výnosy verejnej vysokej školy zo školného a z poplatkov spojených so štúdiom  
v rokoch 201</t>
    </r>
    <r>
      <rPr>
        <b/>
        <sz val="14"/>
        <color rgb="FFFF0000"/>
        <rFont val="Times New Roman"/>
        <family val="1"/>
        <charset val="238"/>
      </rPr>
      <t xml:space="preserve">4 </t>
    </r>
    <r>
      <rPr>
        <b/>
        <sz val="14"/>
        <rFont val="Times New Roman"/>
        <family val="1"/>
        <charset val="238"/>
      </rPr>
      <t>a 201</t>
    </r>
    <r>
      <rPr>
        <b/>
        <sz val="14"/>
        <color rgb="FFFF0000"/>
        <rFont val="Times New Roman"/>
        <family val="1"/>
        <charset val="238"/>
      </rPr>
      <t xml:space="preserve">5 </t>
    </r>
  </si>
  <si>
    <r>
      <t xml:space="preserve"> - cudzinci podľa prechodných ustanovení </t>
    </r>
    <r>
      <rPr>
        <vertAlign val="superscript"/>
        <sz val="12"/>
        <color theme="1"/>
        <rFont val="Times New Roman"/>
        <family val="1"/>
      </rPr>
      <t>1)</t>
    </r>
  </si>
  <si>
    <t xml:space="preserve">*) </t>
  </si>
  <si>
    <r>
      <t>Tabuľka č. 5: Náklady verejnej vysokej školy v rokoch 201</t>
    </r>
    <r>
      <rPr>
        <b/>
        <sz val="14"/>
        <color rgb="FFFF0000"/>
        <rFont val="Times New Roman"/>
        <family val="1"/>
        <charset val="238"/>
      </rPr>
      <t>4</t>
    </r>
    <r>
      <rPr>
        <b/>
        <sz val="14"/>
        <rFont val="Times New Roman"/>
        <family val="1"/>
        <charset val="238"/>
      </rPr>
      <t xml:space="preserve"> a 201</t>
    </r>
    <r>
      <rPr>
        <b/>
        <sz val="14"/>
        <color rgb="FFFF0000"/>
        <rFont val="Times New Roman"/>
        <family val="1"/>
        <charset val="238"/>
      </rPr>
      <t>5</t>
    </r>
  </si>
  <si>
    <t>Odpisy, predaný majetok a opravné položky (účtová skupina 55) [SUM(R85:R92)]</t>
  </si>
  <si>
    <r>
      <t xml:space="preserve">Spolu </t>
    </r>
    <r>
      <rPr>
        <sz val="12"/>
        <rFont val="Times New Roman"/>
        <family val="1"/>
      </rPr>
      <t>[R1+R14+R21+R22+R27+R35+R38+R39+R55+SUM (R61:R63) +SUM (R70:R74)+R84+R93+R94]</t>
    </r>
  </si>
  <si>
    <r>
      <t>Tabuľka č. 6: Zamestnanci a náklady na mzdy verejnej vysokej školy v roku 201</t>
    </r>
    <r>
      <rPr>
        <b/>
        <sz val="14"/>
        <color rgb="FFFF0000"/>
        <rFont val="Times New Roman"/>
        <family val="1"/>
        <charset val="238"/>
      </rPr>
      <t>5</t>
    </r>
  </si>
  <si>
    <r>
      <t>Priemerný evidenčný prepočítaný počet zamestnancov za rok 201</t>
    </r>
    <r>
      <rPr>
        <b/>
        <sz val="12"/>
        <color rgb="FFFF0000"/>
        <rFont val="Times New Roman"/>
        <family val="1"/>
        <charset val="238"/>
      </rPr>
      <t>5</t>
    </r>
  </si>
  <si>
    <r>
      <t>Tabuľka č. 8: Údaje o systéme sociálnej podpory - časť  sociálne štipendiá  (§ 96 zákona) 
za roky 201</t>
    </r>
    <r>
      <rPr>
        <b/>
        <sz val="14"/>
        <color rgb="FFFF0000"/>
        <rFont val="Times New Roman"/>
        <family val="1"/>
        <charset val="238"/>
      </rPr>
      <t>4</t>
    </r>
    <r>
      <rPr>
        <b/>
        <sz val="14"/>
        <rFont val="Times New Roman"/>
        <family val="1"/>
        <charset val="238"/>
      </rPr>
      <t xml:space="preserve"> a 201</t>
    </r>
    <r>
      <rPr>
        <b/>
        <sz val="14"/>
        <color rgb="FFFF0000"/>
        <rFont val="Times New Roman"/>
        <family val="1"/>
        <charset val="238"/>
      </rPr>
      <t>5</t>
    </r>
  </si>
  <si>
    <t>Čerpanie kapitálovej dotácie v roku 2015
zo štátneho rozpočtu</t>
  </si>
  <si>
    <t xml:space="preserve">Čerpanie bežnej dotácie v roku 2015 prostredníctvom fondu reprodukcie </t>
  </si>
  <si>
    <r>
      <t xml:space="preserve">Čerpanie kapitálovej dotácie v roku 2015
</t>
    </r>
    <r>
      <rPr>
        <b/>
        <sz val="11"/>
        <color indexed="8"/>
        <rFont val="Times New Roman"/>
        <family val="1"/>
      </rPr>
      <t>z prostriedkov EÚ (štrukturálnych fondov)</t>
    </r>
  </si>
  <si>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t>
    </r>
    <r>
      <rPr>
        <b/>
        <sz val="14"/>
        <color rgb="FFFF0000"/>
        <rFont val="Times New Roman"/>
        <family val="1"/>
        <charset val="238"/>
      </rPr>
      <t>4</t>
    </r>
    <r>
      <rPr>
        <b/>
        <sz val="14"/>
        <rFont val="Times New Roman"/>
        <family val="1"/>
        <charset val="238"/>
      </rPr>
      <t xml:space="preserve"> a 201</t>
    </r>
    <r>
      <rPr>
        <b/>
        <sz val="14"/>
        <color rgb="FFFF0000"/>
        <rFont val="Times New Roman"/>
        <family val="1"/>
        <charset val="238"/>
      </rPr>
      <t xml:space="preserve">5 </t>
    </r>
  </si>
  <si>
    <r>
      <t>Stav k 31. 12. 201</t>
    </r>
    <r>
      <rPr>
        <b/>
        <sz val="14"/>
        <color rgb="FFFF0000"/>
        <rFont val="Times New Roman"/>
        <family val="1"/>
        <charset val="238"/>
      </rPr>
      <t>4</t>
    </r>
  </si>
  <si>
    <r>
      <t>Stav k 31. 12. 201</t>
    </r>
    <r>
      <rPr>
        <b/>
        <sz val="14"/>
        <color rgb="FFFF0000"/>
        <rFont val="Times New Roman"/>
        <family val="1"/>
        <charset val="238"/>
      </rPr>
      <t>5</t>
    </r>
  </si>
  <si>
    <r>
      <t>Tabuľka č. 22: Výnosy verejnej vysokej školy v roku 201</t>
    </r>
    <r>
      <rPr>
        <b/>
        <sz val="14"/>
        <color rgb="FFFF0000"/>
        <rFont val="Times New Roman"/>
        <family val="1"/>
        <charset val="238"/>
      </rPr>
      <t>5</t>
    </r>
    <r>
      <rPr>
        <b/>
        <sz val="14"/>
        <rFont val="Times New Roman"/>
        <family val="1"/>
        <charset val="238"/>
      </rPr>
      <t xml:space="preserve"> v oblasti sociálnej podpory študentov </t>
    </r>
  </si>
  <si>
    <t>Výnosy
v hlavnej činnosti
2014</t>
  </si>
  <si>
    <r>
      <t>Výnosy
hlavnej činnosti
2015</t>
    </r>
    <r>
      <rPr>
        <sz val="12"/>
        <color indexed="10"/>
        <rFont val="Times New Roman"/>
        <family val="1"/>
        <charset val="238"/>
      </rPr>
      <t xml:space="preserve"> </t>
    </r>
  </si>
  <si>
    <r>
      <t>Tabuľka č .23:  Náklady verejnej vysokej školy  v roku 201</t>
    </r>
    <r>
      <rPr>
        <b/>
        <sz val="14"/>
        <color rgb="FFFF0000"/>
        <rFont val="Times New Roman"/>
        <family val="1"/>
        <charset val="238"/>
      </rPr>
      <t>5</t>
    </r>
    <r>
      <rPr>
        <b/>
        <sz val="14"/>
        <rFont val="Times New Roman"/>
        <family val="1"/>
        <charset val="238"/>
      </rPr>
      <t xml:space="preserve"> v oblasti sociálnej podpory študentov </t>
    </r>
  </si>
  <si>
    <t>Náklady
hlavnej činnosti
2015</t>
  </si>
  <si>
    <r>
      <t>Rozdiel 2015-2014</t>
    </r>
    <r>
      <rPr>
        <sz val="12"/>
        <color indexed="10"/>
        <rFont val="Times New Roman"/>
        <family val="1"/>
        <charset val="238"/>
      </rPr>
      <t xml:space="preserve"> </t>
    </r>
  </si>
  <si>
    <r>
      <t>výnosy verejnej vysokej školy v roku 201</t>
    </r>
    <r>
      <rPr>
        <sz val="12"/>
        <color rgb="FFFF0000"/>
        <rFont val="Times New Roman"/>
        <family val="1"/>
        <charset val="238"/>
      </rPr>
      <t xml:space="preserve">5 </t>
    </r>
    <r>
      <rPr>
        <sz val="12"/>
        <rFont val="Times New Roman"/>
        <family val="1"/>
        <charset val="238"/>
      </rPr>
      <t>v oblasti sociálnej podpory študentov</t>
    </r>
  </si>
  <si>
    <r>
      <t>náklady verejnej vysokej školy  v roku 201</t>
    </r>
    <r>
      <rPr>
        <sz val="12"/>
        <color rgb="FFFF0000"/>
        <rFont val="Times New Roman"/>
        <family val="1"/>
        <charset val="238"/>
      </rPr>
      <t xml:space="preserve">5 </t>
    </r>
    <r>
      <rPr>
        <sz val="12"/>
        <rFont val="Times New Roman"/>
        <family val="1"/>
        <charset val="238"/>
      </rPr>
      <t>v oblasti sociálnej podpory študentov</t>
    </r>
  </si>
  <si>
    <r>
      <t>súvaha k 31.12.201</t>
    </r>
    <r>
      <rPr>
        <sz val="12"/>
        <color indexed="10"/>
        <rFont val="Times New Roman"/>
        <family val="1"/>
        <charset val="238"/>
      </rPr>
      <t xml:space="preserve">5 </t>
    </r>
    <r>
      <rPr>
        <sz val="12"/>
        <color indexed="8"/>
        <rFont val="Times New Roman"/>
        <family val="1"/>
        <charset val="238"/>
      </rPr>
      <t xml:space="preserve">- Strana aktív 
1. a 2. časť </t>
    </r>
  </si>
  <si>
    <r>
      <t>súvaha  k 31.12.201</t>
    </r>
    <r>
      <rPr>
        <sz val="12"/>
        <color indexed="10"/>
        <rFont val="Times New Roman"/>
        <family val="1"/>
        <charset val="238"/>
      </rPr>
      <t>5</t>
    </r>
    <r>
      <rPr>
        <sz val="12"/>
        <color indexed="8"/>
        <rFont val="Times New Roman"/>
        <family val="1"/>
        <charset val="238"/>
      </rPr>
      <t xml:space="preserve"> - Strana pasív</t>
    </r>
  </si>
  <si>
    <r>
      <t>Zmeny tabuliek výročnej správy o hospodárení za rok 201</t>
    </r>
    <r>
      <rPr>
        <b/>
        <sz val="14"/>
        <color indexed="10"/>
        <rFont val="Times New Roman"/>
        <family val="1"/>
        <charset val="238"/>
      </rPr>
      <t xml:space="preserve">5 </t>
    </r>
    <r>
      <rPr>
        <b/>
        <sz val="14"/>
        <rFont val="Times New Roman"/>
        <family val="1"/>
        <charset val="238"/>
      </rPr>
      <t>v porovnaní s rokom 201</t>
    </r>
    <r>
      <rPr>
        <b/>
        <sz val="14"/>
        <color indexed="10"/>
        <rFont val="Times New Roman"/>
        <family val="1"/>
        <charset val="238"/>
      </rPr>
      <t>4</t>
    </r>
  </si>
  <si>
    <r>
      <t>Obsah tabuľkovej prílohy výročnej správy o hospodárení verejnej vysokej školy za rok 201</t>
    </r>
    <r>
      <rPr>
        <b/>
        <u/>
        <sz val="13"/>
        <color indexed="10"/>
        <rFont val="Times New Roman"/>
        <family val="1"/>
        <charset val="238"/>
      </rPr>
      <t>5</t>
    </r>
  </si>
  <si>
    <r>
      <t>Výnosy verejnej vysokej školy zo školného a z poplatkov spojených so štúdiom v rokoch 201</t>
    </r>
    <r>
      <rPr>
        <sz val="12"/>
        <color indexed="10"/>
        <rFont val="Times New Roman"/>
        <family val="1"/>
        <charset val="238"/>
      </rPr>
      <t xml:space="preserve">4 </t>
    </r>
    <r>
      <rPr>
        <sz val="12"/>
        <rFont val="Times New Roman"/>
        <family val="1"/>
        <charset val="238"/>
      </rPr>
      <t>a 201</t>
    </r>
    <r>
      <rPr>
        <sz val="12"/>
        <color indexed="10"/>
        <rFont val="Times New Roman"/>
        <family val="1"/>
        <charset val="238"/>
      </rPr>
      <t>5</t>
    </r>
  </si>
  <si>
    <r>
      <t>Náklady verejnej vysokej školy v rokoch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</si>
  <si>
    <r>
      <t>Zamestnanci a náklady na mzdy verejnej vysokej školy v roku 201</t>
    </r>
    <r>
      <rPr>
        <sz val="12"/>
        <color indexed="10"/>
        <rFont val="Times New Roman"/>
        <family val="1"/>
        <charset val="238"/>
      </rPr>
      <t>5</t>
    </r>
  </si>
  <si>
    <r>
      <t>Náklady verejnej vysokej školy na štipendiá interných doktorandov v roku 201</t>
    </r>
    <r>
      <rPr>
        <sz val="12"/>
        <color indexed="10"/>
        <rFont val="Times New Roman"/>
        <family val="1"/>
        <charset val="238"/>
      </rPr>
      <t>5</t>
    </r>
  </si>
  <si>
    <r>
      <t>Údaje o systéme sociálnej podpory  - časť  sociálne štipendiá  (§ 96 zákona) za roky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</si>
  <si>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</si>
  <si>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</si>
  <si>
    <r>
      <t>Zdroje verejnej vysokej školy na obstaranie a technické zhodnotenie dlhodobého  majetku v rokoch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</si>
  <si>
    <r>
      <t>Výdavky verejnej vysokej školy na obstaranie a technické zhodnotenie dlhodobého majetku v roku 201</t>
    </r>
    <r>
      <rPr>
        <sz val="12"/>
        <color indexed="10"/>
        <rFont val="Times New Roman"/>
        <family val="1"/>
        <charset val="238"/>
      </rPr>
      <t>5</t>
    </r>
  </si>
  <si>
    <r>
      <t>Stav a vývoj finančných fondov verejnej vysokej školy v rokoch 201</t>
    </r>
    <r>
      <rPr>
        <sz val="12"/>
        <color indexed="10"/>
        <rFont val="Times New Roman"/>
        <family val="1"/>
        <charset val="238"/>
      </rPr>
      <t xml:space="preserve">4 </t>
    </r>
    <r>
      <rPr>
        <sz val="12"/>
        <rFont val="Times New Roman"/>
        <family val="1"/>
        <charset val="238"/>
      </rPr>
      <t>a 201</t>
    </r>
    <r>
      <rPr>
        <sz val="12"/>
        <color indexed="10"/>
        <rFont val="Times New Roman"/>
        <family val="1"/>
        <charset val="238"/>
      </rPr>
      <t>5</t>
    </r>
  </si>
  <si>
    <r>
      <t>Príjmy verejnej vysokej školy z prostriedkov EÚ a z prostriedkov na ich spolufinancovanie zo štátneho rozpočtu z kapitoly MŠVVaŠ SR a z iných kapitol štátneho rozpočtu v roku 201</t>
    </r>
    <r>
      <rPr>
        <sz val="12"/>
        <color indexed="10"/>
        <rFont val="Times New Roman"/>
        <family val="1"/>
        <charset val="238"/>
      </rPr>
      <t>5</t>
    </r>
  </si>
  <si>
    <r>
      <t>Štipendiá z vlastných zdrojov podľa § 97 zákona v rokoch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</si>
  <si>
    <r>
      <t>Motivačné štipendiá  v rokoch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r>
      <rPr>
        <sz val="12"/>
        <rFont val="Times New Roman"/>
        <family val="1"/>
        <charset val="238"/>
      </rPr>
      <t xml:space="preserve"> (v zmysle § 96a  zákona ) </t>
    </r>
  </si>
  <si>
    <r>
      <t>Štruktúra účtu 384 - výnosy budúcich období v rokoch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</si>
  <si>
    <r>
      <t>Výnosy verejnej vysokej školy v roku 201</t>
    </r>
    <r>
      <rPr>
        <sz val="12"/>
        <color indexed="10"/>
        <rFont val="Times New Roman"/>
        <family val="1"/>
        <charset val="238"/>
      </rPr>
      <t>5</t>
    </r>
    <r>
      <rPr>
        <sz val="12"/>
        <rFont val="Times New Roman"/>
        <family val="1"/>
        <charset val="238"/>
      </rPr>
      <t xml:space="preserve"> v oblasti sociálnej podpory študentov</t>
    </r>
  </si>
  <si>
    <r>
      <t>Náklady verejnej vysokej školy  v roku 201</t>
    </r>
    <r>
      <rPr>
        <sz val="12"/>
        <color indexed="10"/>
        <rFont val="Times New Roman"/>
        <family val="1"/>
        <charset val="238"/>
      </rPr>
      <t xml:space="preserve">5 </t>
    </r>
    <r>
      <rPr>
        <sz val="12"/>
        <rFont val="Times New Roman"/>
        <family val="1"/>
        <charset val="238"/>
      </rPr>
      <t>v oblasti sociálnej podpory študentov</t>
    </r>
  </si>
  <si>
    <t>Tabuľka č. 3: Výnosy verejnej vysokej školy v rokoch 2014 a 2015</t>
  </si>
  <si>
    <t>zmenená analytika v niektorých riadkoch</t>
  </si>
  <si>
    <r>
      <t>Vysvetlivky k tabuľkám výročnej správy o hospodárení verejnej vysokej školy za rok 201</t>
    </r>
    <r>
      <rPr>
        <b/>
        <sz val="14"/>
        <color indexed="10"/>
        <rFont val="Times New Roman"/>
        <family val="1"/>
        <charset val="238"/>
      </rPr>
      <t>5</t>
    </r>
  </si>
  <si>
    <r>
      <t>Ak nie je uvedené inak, všetky údaje o výške finančných prostriedkov  z roku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r>
      <rPr>
        <sz val="12"/>
        <rFont val="Times New Roman"/>
        <family val="1"/>
        <charset val="238"/>
      </rPr>
      <t xml:space="preserve">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</si>
  <si>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Údaje vychádzajú z platného analytického členenia účtov   na rok 201</t>
    </r>
    <r>
      <rPr>
        <b/>
        <sz val="12"/>
        <color indexed="10"/>
        <rFont val="Times New Roman"/>
        <family val="1"/>
        <charset val="238"/>
      </rPr>
      <t>5</t>
    </r>
    <r>
      <rPr>
        <b/>
        <sz val="12"/>
        <rFont val="Times New Roman"/>
        <family val="1"/>
        <charset val="238"/>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t>
    </r>
  </si>
  <si>
    <t>T3a_V1</t>
  </si>
  <si>
    <r>
      <t>Údaje vychádzajú z platného analytického členenia účtov  na rok 201</t>
    </r>
    <r>
      <rPr>
        <b/>
        <sz val="12"/>
        <color indexed="10"/>
        <rFont val="Times New Roman"/>
        <family val="1"/>
        <charset val="238"/>
      </rPr>
      <t>5</t>
    </r>
    <r>
      <rPr>
        <b/>
        <sz val="12"/>
        <rFont val="Times New Roman"/>
        <family val="1"/>
        <charset val="238"/>
      </rPr>
      <t>.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r>
  </si>
  <si>
    <t xml:space="preserve">Riadky 12, 13 sa v roku  2014 nevypĺňajú a údaje z nich sa uvádzajú do riadku 11, v roku 2015 sa vypĺňajú. </t>
  </si>
  <si>
    <r>
      <t>Minimálna výška prídelu do štipendijného fondu v roku 201</t>
    </r>
    <r>
      <rPr>
        <b/>
        <sz val="12"/>
        <color rgb="FFFF0000"/>
        <rFont val="Times New Roman"/>
        <family val="1"/>
        <charset val="238"/>
      </rPr>
      <t>4</t>
    </r>
    <r>
      <rPr>
        <b/>
        <sz val="12"/>
        <rFont val="Times New Roman"/>
        <family val="1"/>
        <charset val="238"/>
      </rPr>
      <t xml:space="preserve"> a 201</t>
    </r>
    <r>
      <rPr>
        <b/>
        <sz val="12"/>
        <color rgb="FFFF0000"/>
        <rFont val="Times New Roman"/>
        <family val="1"/>
        <charset val="238"/>
      </rPr>
      <t xml:space="preserve">5 </t>
    </r>
    <r>
      <rPr>
        <b/>
        <sz val="12"/>
        <rFont val="Times New Roman"/>
        <family val="1"/>
        <charset val="238"/>
      </rPr>
      <t>je 20 % príjmov zo školného.</t>
    </r>
  </si>
  <si>
    <t>T5a_V1</t>
  </si>
  <si>
    <r>
      <t>V stĺpcoch A, B, C uvedie vysoká škola priemerný evidenčný prepočítaný počet zamestnancov za rok 201</t>
    </r>
    <r>
      <rPr>
        <sz val="12"/>
        <color indexed="10"/>
        <rFont val="Times New Roman"/>
        <family val="1"/>
        <charset val="238"/>
      </rPr>
      <t xml:space="preserve">5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</si>
  <si>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t>
    </r>
    <r>
      <rPr>
        <sz val="12"/>
        <color indexed="10"/>
        <rFont val="Times New Roman"/>
        <family val="1"/>
        <charset val="238"/>
      </rPr>
      <t xml:space="preserve">5 </t>
    </r>
    <r>
      <rPr>
        <sz val="12"/>
        <rFont val="Times New Roman"/>
        <family val="1"/>
        <charset val="238"/>
      </rPr>
      <t>platených z dotácie MŠVVaŠ SR, t.j. z prostriedkov uvedených v stĺpci F.</t>
    </r>
  </si>
  <si>
    <r>
      <t>V stĺpci C uvedie vysoká škola priemerný evidenčný prepočítaný počet zamestnancov za rok 201</t>
    </r>
    <r>
      <rPr>
        <sz val="12"/>
        <color indexed="10"/>
        <rFont val="Times New Roman"/>
        <family val="1"/>
        <charset val="238"/>
      </rPr>
      <t xml:space="preserve">5 </t>
    </r>
    <r>
      <rPr>
        <sz val="12"/>
        <rFont val="Times New Roman"/>
        <family val="1"/>
        <charset val="238"/>
      </rPr>
      <t xml:space="preserve">platených z iných zdrojov, t. j.  z prostriedkov uvedených v stĺpci G. Príklad: Zamestnanci platení z podnikateľskej činnosti. </t>
    </r>
  </si>
  <si>
    <t>T6a_V1</t>
  </si>
  <si>
    <r>
      <t>Uvedie sa objem prijatej kapitálovej dotácie z rozpočtu kapitoly MŠVVaŠ SR a z iných rozpočtových kapitol v roku 201</t>
    </r>
    <r>
      <rPr>
        <sz val="12"/>
        <color indexed="10"/>
        <rFont val="Times New Roman"/>
        <family val="1"/>
        <charset val="238"/>
      </rPr>
      <t xml:space="preserve">5 </t>
    </r>
    <r>
      <rPr>
        <sz val="12"/>
        <color indexed="8"/>
        <rFont val="Times New Roman"/>
        <family val="1"/>
        <charset val="238"/>
      </rPr>
      <t>zo zdroja 111 (kapitálová dotácia, ktorá bola verejnej vysokej škole poukázaná na účet (cash) v sledovanom období,  účet 346002 - strana DAL)</t>
    </r>
  </si>
  <si>
    <r>
      <t>Tabuľka č. 12 poskytuje informácie o štruktúre a objeme výdavkov, ktoré verejná vysoká škola  použila na obstaranie a technické zhodnotenie dlhodobého majetku v roku 201</t>
    </r>
    <r>
      <rPr>
        <b/>
        <sz val="12"/>
        <color indexed="10"/>
        <rFont val="Times New Roman"/>
        <family val="1"/>
        <charset val="238"/>
      </rPr>
      <t>5</t>
    </r>
    <r>
      <rPr>
        <b/>
        <sz val="12"/>
        <rFont val="Times New Roman"/>
        <family val="1"/>
        <charset val="238"/>
      </rPr>
      <t>.</t>
    </r>
  </si>
  <si>
    <r>
      <t>Výdavky na obstaranie majetku kryté v priebehu roku 201</t>
    </r>
    <r>
      <rPr>
        <sz val="12"/>
        <color indexed="10"/>
        <rFont val="Times New Roman"/>
        <family val="1"/>
        <charset val="238"/>
      </rPr>
      <t xml:space="preserve">5 </t>
    </r>
    <r>
      <rPr>
        <sz val="12"/>
        <rFont val="Times New Roman"/>
        <family val="1"/>
        <charset val="238"/>
      </rPr>
      <t xml:space="preserve">z úveru. Pri čerpaní týchto prostriedkov uviesť v komentári aj rok získania úveru. </t>
    </r>
  </si>
  <si>
    <r>
      <t>Tabuľka č. 13 poskytuje informácie o stave a vývoji finančných fondov verejnej vysokej školy v rokoch 201</t>
    </r>
    <r>
      <rPr>
        <b/>
        <sz val="12"/>
        <color indexed="10"/>
        <rFont val="Times New Roman"/>
        <family val="1"/>
        <charset val="238"/>
      </rPr>
      <t>4</t>
    </r>
    <r>
      <rPr>
        <b/>
        <sz val="12"/>
        <rFont val="Times New Roman"/>
        <family val="1"/>
        <charset val="238"/>
      </rPr>
      <t xml:space="preserve"> a 201</t>
    </r>
    <r>
      <rPr>
        <b/>
        <sz val="12"/>
        <color indexed="10"/>
        <rFont val="Times New Roman"/>
        <family val="1"/>
        <charset val="238"/>
      </rPr>
      <t>5</t>
    </r>
    <r>
      <rPr>
        <b/>
        <sz val="12"/>
        <rFont val="Times New Roman"/>
        <family val="1"/>
        <charset val="238"/>
      </rPr>
      <t>.</t>
    </r>
  </si>
  <si>
    <r>
      <t>Uvedú sa sumárne stavy ostatných  fondov, ktoré vysoká škola vytvorila za roky 201</t>
    </r>
    <r>
      <rPr>
        <sz val="12"/>
        <color indexed="10"/>
        <rFont val="Times New Roman"/>
        <family val="1"/>
        <charset val="238"/>
      </rPr>
      <t xml:space="preserve">4 </t>
    </r>
    <r>
      <rPr>
        <sz val="12"/>
        <rFont val="Times New Roman"/>
        <family val="1"/>
        <charset val="238"/>
      </rPr>
      <t>a 201</t>
    </r>
    <r>
      <rPr>
        <sz val="12"/>
        <color indexed="10"/>
        <rFont val="Times New Roman"/>
        <family val="1"/>
        <charset val="238"/>
      </rPr>
      <t>5</t>
    </r>
    <r>
      <rPr>
        <sz val="12"/>
        <rFont val="Times New Roman"/>
        <family val="1"/>
        <charset val="238"/>
      </rPr>
      <t xml:space="preserve"> v zmysle §16a ods. 1 zákona č. 131/2002 Z. z. o vysokých školách v znení neskorších predpisov.</t>
    </r>
  </si>
  <si>
    <r>
      <t>Tabuľka č. 17 obsahuje informácie o celkovom objeme príjmov z dotácií, poskytnutých verejnej vysokej škole v roku 201</t>
    </r>
    <r>
      <rPr>
        <b/>
        <sz val="12"/>
        <color indexed="10"/>
        <rFont val="Times New Roman"/>
        <family val="1"/>
        <charset val="238"/>
      </rPr>
      <t xml:space="preserve">5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</si>
  <si>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Ak VVŠ obdržala finančné prostriedky aj z inej kapitoly štátneho rozpočtu, uvádzajú sa osobitne. Tieto dotácie sa evidujú na zdrojoch podľa platnej rozpočtovej klasifikácie na rok 201</t>
    </r>
    <r>
      <rPr>
        <sz val="12"/>
        <color indexed="10"/>
        <rFont val="Times New Roman"/>
        <family val="1"/>
        <charset val="238"/>
      </rPr>
      <t>5</t>
    </r>
    <r>
      <rPr>
        <sz val="12"/>
        <rFont val="Times New Roman"/>
        <family val="1"/>
        <charset val="238"/>
      </rPr>
      <t xml:space="preserve"> a nie sú súčasťou dotácií, vykazovaných v T2_R1.  </t>
    </r>
  </si>
  <si>
    <r>
      <t>Súvzťažnosti tabuliek výročnej správy o hospodárení verejnej vysokej školy za rok 201</t>
    </r>
    <r>
      <rPr>
        <b/>
        <sz val="14"/>
        <color indexed="10"/>
        <rFont val="Times New Roman"/>
        <family val="1"/>
        <charset val="238"/>
      </rPr>
      <t>5</t>
    </r>
  </si>
  <si>
    <t>T3_R21_SA (SC) = T4_R1_SA (SB),
T3_R22_SA (SC) = T4_R7_SA (SB)</t>
  </si>
  <si>
    <r>
      <t xml:space="preserve">Výnosy sú kontrolované na údaje z výkazníctva - výkaz ziskov a strát, časť </t>
    </r>
    <r>
      <rPr>
        <b/>
        <sz val="12"/>
        <rFont val="Times New Roman"/>
        <family val="1"/>
        <charset val="238"/>
      </rPr>
      <t>výnosy</t>
    </r>
    <r>
      <rPr>
        <sz val="12"/>
        <rFont val="Times New Roman"/>
        <family val="1"/>
        <charset val="238"/>
      </rPr>
      <t>. 
Údaje v T3 z roku 201</t>
    </r>
    <r>
      <rPr>
        <sz val="12"/>
        <color indexed="10"/>
        <rFont val="Times New Roman"/>
        <family val="1"/>
        <charset val="238"/>
      </rPr>
      <t xml:space="preserve">4 </t>
    </r>
    <r>
      <rPr>
        <sz val="12"/>
        <rFont val="Times New Roman"/>
        <family val="1"/>
        <charset val="238"/>
      </rPr>
      <t xml:space="preserve"> a údaje z roku 201</t>
    </r>
    <r>
      <rPr>
        <sz val="12"/>
        <color indexed="10"/>
        <rFont val="Times New Roman"/>
        <family val="1"/>
        <charset val="238"/>
      </rPr>
      <t>5</t>
    </r>
    <r>
      <rPr>
        <sz val="12"/>
        <rFont val="Times New Roman"/>
        <family val="1"/>
        <charset val="238"/>
      </rPr>
      <t xml:space="preserve">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T3_R21, R22 sa taktiež kontrolujú na T4_R1_SB a T4_R</t>
    </r>
    <r>
      <rPr>
        <sz val="12"/>
        <color indexed="10"/>
        <rFont val="Times New Roman"/>
        <family val="1"/>
        <charset val="238"/>
      </rPr>
      <t>7</t>
    </r>
    <r>
      <rPr>
        <sz val="12"/>
        <rFont val="Times New Roman"/>
        <family val="1"/>
        <charset val="238"/>
      </rPr>
      <t>_SB.</t>
    </r>
  </si>
  <si>
    <t>T4_R1_SA (SB) = T3_R21_SA (SC),
T4_R7_SA (SB) = T3_R22_SA (SC) 
T4_R15_SA (SB) =   T13_R9_SE (SF)</t>
  </si>
  <si>
    <t>Údaje v T4 sú kontrolované na údaje z T3, a to na výnosy z hlavnej činnosti - školné (T3_R21), poplatky spojené so štúdiom (T3_R22). 
Údaj  v R15 - návrh na prídel do štipendijného fondu musí byť minimálne vo výške vykazovanom na riadku R10 - základ pre prídel do štipendijného fondu.</t>
  </si>
  <si>
    <r>
      <t xml:space="preserve">Náklady sú kontrolované na údaje z výkazníctva - výkaz ziskov a strát, časť </t>
    </r>
    <r>
      <rPr>
        <b/>
        <sz val="12"/>
        <rFont val="Times New Roman"/>
        <family val="1"/>
        <charset val="238"/>
      </rPr>
      <t>náklady</t>
    </r>
    <r>
      <rPr>
        <sz val="12"/>
        <rFont val="Times New Roman"/>
        <family val="1"/>
        <charset val="238"/>
      </rPr>
      <t>.  
Obdobne ako  pri T3 sa  údaje  z roku 201</t>
    </r>
    <r>
      <rPr>
        <sz val="12"/>
        <color indexed="10"/>
        <rFont val="Times New Roman"/>
        <family val="1"/>
        <charset val="238"/>
      </rPr>
      <t>4</t>
    </r>
    <r>
      <rPr>
        <sz val="12"/>
        <rFont val="Times New Roman"/>
        <family val="1"/>
        <charset val="238"/>
      </rPr>
      <t xml:space="preserve"> a údaje z roku 201</t>
    </r>
    <r>
      <rPr>
        <sz val="12"/>
        <color indexed="10"/>
        <rFont val="Times New Roman"/>
        <family val="1"/>
        <charset val="238"/>
      </rPr>
      <t>5</t>
    </r>
    <r>
      <rPr>
        <sz val="12"/>
        <rFont val="Times New Roman"/>
        <family val="1"/>
        <charset val="238"/>
      </rPr>
      <t xml:space="preserve"> sa uvádzajú v eurách.
Za oblasť miezd sú údaje za rok 201</t>
    </r>
    <r>
      <rPr>
        <sz val="12"/>
        <color indexed="10"/>
        <rFont val="Times New Roman"/>
        <family val="1"/>
        <charset val="238"/>
      </rPr>
      <t>5</t>
    </r>
    <r>
      <rPr>
        <sz val="12"/>
        <rFont val="Times New Roman"/>
        <family val="1"/>
        <charset val="238"/>
      </rPr>
      <t xml:space="preserve"> - účet 521 (R55)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 sa kontrolujú na údaje z T7_R1</t>
    </r>
    <r>
      <rPr>
        <sz val="12"/>
        <color indexed="8"/>
        <rFont val="Times New Roman"/>
        <family val="1"/>
        <charset val="238"/>
      </rPr>
      <t>_SF</t>
    </r>
    <r>
      <rPr>
        <sz val="12"/>
        <rFont val="Times New Roman"/>
        <family val="1"/>
        <charset val="238"/>
      </rPr>
      <t xml:space="preserve">. 
Prospechové štipendiá z vlastných zdrojov z T5_R81_SC sa kontrolujú na údaje v T19_R2_SC. </t>
    </r>
  </si>
  <si>
    <r>
      <t>T6_R1..R6, R7, R9, R13, R14, R16, R17 = Škol 2-04 za 201</t>
    </r>
    <r>
      <rPr>
        <sz val="12"/>
        <color indexed="10"/>
        <rFont val="Times New Roman"/>
        <family val="1"/>
        <charset val="238"/>
      </rPr>
      <t xml:space="preserve">5, </t>
    </r>
    <r>
      <rPr>
        <sz val="12"/>
        <rFont val="Times New Roman"/>
        <family val="1"/>
        <charset val="238"/>
      </rPr>
      <t xml:space="preserve">
T6_R15a.. = dotačná zmluva na 201</t>
    </r>
    <r>
      <rPr>
        <sz val="12"/>
        <color indexed="10"/>
        <rFont val="Times New Roman"/>
        <family val="1"/>
        <charset val="238"/>
      </rPr>
      <t>5</t>
    </r>
    <r>
      <rPr>
        <sz val="12"/>
        <rFont val="Times New Roman"/>
        <family val="1"/>
        <charset val="238"/>
      </rPr>
      <t>, špecifiká</t>
    </r>
  </si>
  <si>
    <r>
      <t xml:space="preserve"> T7_R1_SD = T5_R77_SC,
 T7_R9_SA = dotačná zmluva na 201</t>
    </r>
    <r>
      <rPr>
        <sz val="12"/>
        <color indexed="10"/>
        <rFont val="Times New Roman"/>
        <family val="1"/>
        <charset val="238"/>
      </rPr>
      <t>5</t>
    </r>
    <r>
      <rPr>
        <sz val="12"/>
        <color indexed="8"/>
        <rFont val="Times New Roman"/>
        <family val="1"/>
        <charset val="238"/>
      </rPr>
      <t xml:space="preserve">_účelové prostriedky na štipendiá doktorandov </t>
    </r>
  </si>
  <si>
    <r>
      <t>Údaje v R1_</t>
    </r>
    <r>
      <rPr>
        <sz val="12"/>
        <color indexed="8"/>
        <rFont val="Times New Roman"/>
        <family val="1"/>
        <charset val="238"/>
      </rPr>
      <t>SD</t>
    </r>
    <r>
      <rPr>
        <sz val="12"/>
        <rFont val="Times New Roman"/>
        <family val="1"/>
        <charset val="238"/>
      </rPr>
      <t xml:space="preserve"> za rok 201</t>
    </r>
    <r>
      <rPr>
        <sz val="12"/>
        <color indexed="10"/>
        <rFont val="Times New Roman"/>
        <family val="1"/>
        <charset val="238"/>
      </rPr>
      <t>5</t>
    </r>
    <r>
      <rPr>
        <sz val="12"/>
        <rFont val="Times New Roman"/>
        <family val="1"/>
        <charset val="238"/>
      </rPr>
      <t xml:space="preserve"> sú kontrolované na T5_R77_SC a údaje </t>
    </r>
    <r>
      <rPr>
        <sz val="12"/>
        <color indexed="8"/>
        <rFont val="Times New Roman"/>
        <family val="1"/>
        <charset val="238"/>
      </rPr>
      <t>v R9_SA</t>
    </r>
    <r>
      <rPr>
        <sz val="12"/>
        <rFont val="Times New Roman"/>
        <family val="1"/>
        <charset val="238"/>
      </rPr>
      <t xml:space="preserve"> na poskytnutú </t>
    </r>
    <r>
      <rPr>
        <u/>
        <sz val="12"/>
        <rFont val="Times New Roman"/>
        <family val="1"/>
        <charset val="238"/>
      </rPr>
      <t>účelovú</t>
    </r>
    <r>
      <rPr>
        <sz val="12"/>
        <rFont val="Times New Roman"/>
        <family val="1"/>
        <charset val="238"/>
      </rPr>
      <t xml:space="preserve"> dotáciu na štipendiá doktorandov podľa dotačnej zmluvy. </t>
    </r>
  </si>
  <si>
    <r>
      <t>T8_R5_SA (SC) = "dotačná zmluva" na rok 201</t>
    </r>
    <r>
      <rPr>
        <sz val="12"/>
        <color indexed="10"/>
        <rFont val="Times New Roman"/>
        <family val="1"/>
        <charset val="238"/>
      </rPr>
      <t>4</t>
    </r>
    <r>
      <rPr>
        <sz val="12"/>
        <rFont val="Times New Roman"/>
        <family val="1"/>
        <charset val="238"/>
      </rPr>
      <t xml:space="preserve"> (201</t>
    </r>
    <r>
      <rPr>
        <sz val="12"/>
        <color indexed="10"/>
        <rFont val="Times New Roman"/>
        <family val="1"/>
        <charset val="238"/>
      </rPr>
      <t>5)</t>
    </r>
    <r>
      <rPr>
        <sz val="12"/>
        <rFont val="Times New Roman"/>
        <family val="1"/>
        <charset val="238"/>
      </rPr>
      <t>, podprogram 077 15 01 - účelové prostriedky na sociálne štipendiá</t>
    </r>
  </si>
  <si>
    <r>
      <t>Údaje  sú kontrolované na  dotačné zmluvy a na účelovú dotáciu na rok 201</t>
    </r>
    <r>
      <rPr>
        <sz val="12"/>
        <color indexed="10"/>
        <rFont val="Times New Roman"/>
        <family val="1"/>
        <charset val="238"/>
      </rPr>
      <t>4</t>
    </r>
    <r>
      <rPr>
        <sz val="12"/>
        <rFont val="Times New Roman"/>
        <family val="1"/>
        <charset val="238"/>
      </rPr>
      <t>, 201</t>
    </r>
    <r>
      <rPr>
        <sz val="12"/>
        <color indexed="10"/>
        <rFont val="Times New Roman"/>
        <family val="1"/>
        <charset val="238"/>
      </rPr>
      <t>5</t>
    </r>
    <r>
      <rPr>
        <sz val="12"/>
        <rFont val="Times New Roman"/>
        <family val="1"/>
        <charset val="238"/>
      </rPr>
      <t xml:space="preserve"> v zmysle databázy VVŠ.
Údaje v T8_R1_SC by sa mali rovnať údajom z CRŠ kód 1.</t>
    </r>
  </si>
  <si>
    <r>
      <t>T8_R4_SA = zostatok k 31.12.201</t>
    </r>
    <r>
      <rPr>
        <sz val="12"/>
        <color indexed="10"/>
        <rFont val="Times New Roman"/>
        <family val="1"/>
        <charset val="238"/>
      </rPr>
      <t>4</t>
    </r>
    <r>
      <rPr>
        <sz val="12"/>
        <rFont val="Times New Roman"/>
        <family val="1"/>
        <charset val="238"/>
      </rPr>
      <t xml:space="preserve">
T8_R6_SA = T8_R4_SC 
T8_R1_SA (SC)  ≤ T13_R11_SE (SF)</t>
    </r>
  </si>
  <si>
    <r>
      <t>T10_R7_SA (SB) = dotačná zmluva 20</t>
    </r>
    <r>
      <rPr>
        <sz val="12"/>
        <color indexed="10"/>
        <rFont val="Times New Roman"/>
        <family val="1"/>
        <charset val="238"/>
      </rPr>
      <t>14</t>
    </r>
    <r>
      <rPr>
        <sz val="12"/>
        <rFont val="Times New Roman"/>
        <family val="1"/>
        <charset val="238"/>
      </rPr>
      <t xml:space="preserve"> (20</t>
    </r>
    <r>
      <rPr>
        <sz val="12"/>
        <color indexed="10"/>
        <rFont val="Times New Roman"/>
        <family val="1"/>
        <charset val="238"/>
      </rPr>
      <t>15</t>
    </r>
    <r>
      <rPr>
        <sz val="12"/>
        <rFont val="Times New Roman"/>
        <family val="1"/>
        <charset val="238"/>
      </rPr>
      <t>)_účelová dotácia na študentské jedálne</t>
    </r>
  </si>
  <si>
    <r>
      <t>Údaj v T8_R4_SA predstavuje zostatok nevyčerpanej dotácie z predchádzajúceho roka, t. j. k 31. 12. 201</t>
    </r>
    <r>
      <rPr>
        <sz val="12"/>
        <color indexed="10"/>
        <rFont val="Times New Roman"/>
        <family val="1"/>
        <charset val="238"/>
      </rPr>
      <t xml:space="preserve">4 </t>
    </r>
    <r>
      <rPr>
        <sz val="12"/>
        <rFont val="Times New Roman"/>
        <family val="1"/>
        <charset val="238"/>
      </rPr>
      <t>.  
Údaj v T8_R6_SA (SC) predstavuje zostatok nevyčerpanej dotácie k 31. 12. príslušného roka (201</t>
    </r>
    <r>
      <rPr>
        <sz val="12"/>
        <color indexed="10"/>
        <rFont val="Times New Roman"/>
        <family val="1"/>
        <charset val="238"/>
      </rPr>
      <t>4,</t>
    </r>
    <r>
      <rPr>
        <sz val="12"/>
        <rFont val="Times New Roman"/>
        <family val="1"/>
        <charset val="238"/>
      </rPr>
      <t xml:space="preserve"> resp. 201</t>
    </r>
    <r>
      <rPr>
        <sz val="12"/>
        <color indexed="10"/>
        <rFont val="Times New Roman"/>
        <family val="1"/>
        <charset val="238"/>
      </rPr>
      <t>5</t>
    </r>
    <r>
      <rPr>
        <sz val="12"/>
        <rFont val="Times New Roman"/>
        <family val="1"/>
        <charset val="238"/>
      </rPr>
      <t>) a ich hodnoty sa vypočítajú z ostatných uvedených údajov. Zostatok nevyčerpanej dotácie k 31. 12. 201</t>
    </r>
    <r>
      <rPr>
        <sz val="12"/>
        <color indexed="10"/>
        <rFont val="Times New Roman"/>
        <family val="1"/>
        <charset val="238"/>
      </rPr>
      <t>4</t>
    </r>
    <r>
      <rPr>
        <sz val="12"/>
        <rFont val="Times New Roman"/>
        <family val="1"/>
        <charset val="238"/>
      </rPr>
      <t xml:space="preserve"> je totožný  s údajmi vykazovanými v tabuľke T8 výročnej správy za rok 201</t>
    </r>
    <r>
      <rPr>
        <sz val="12"/>
        <color indexed="10"/>
        <rFont val="Times New Roman"/>
        <family val="1"/>
        <charset val="238"/>
      </rPr>
      <t>4</t>
    </r>
    <r>
      <rPr>
        <sz val="12"/>
        <rFont val="Times New Roman"/>
        <family val="1"/>
        <charset val="238"/>
      </rPr>
      <t>.</t>
    </r>
  </si>
  <si>
    <r>
      <t>T9_R1 = štatistické výkazy MŠVVaŠ SR 201</t>
    </r>
    <r>
      <rPr>
        <sz val="12"/>
        <color indexed="10"/>
        <rFont val="Times New Roman"/>
        <family val="1"/>
        <charset val="238"/>
      </rPr>
      <t>4</t>
    </r>
    <r>
      <rPr>
        <sz val="12"/>
        <rFont val="Times New Roman"/>
        <family val="1"/>
        <charset val="238"/>
      </rPr>
      <t>(201</t>
    </r>
    <r>
      <rPr>
        <sz val="12"/>
        <color indexed="10"/>
        <rFont val="Times New Roman"/>
        <family val="1"/>
        <charset val="238"/>
      </rPr>
      <t>5)</t>
    </r>
  </si>
  <si>
    <r>
      <t>T9_R6_SA (SB) = "dotačná zmluva" 201</t>
    </r>
    <r>
      <rPr>
        <sz val="12"/>
        <color indexed="10"/>
        <rFont val="Times New Roman"/>
        <family val="1"/>
        <charset val="238"/>
      </rPr>
      <t>5</t>
    </r>
    <r>
      <rPr>
        <sz val="12"/>
        <rFont val="Times New Roman"/>
        <family val="1"/>
        <charset val="238"/>
      </rPr>
      <t>(201</t>
    </r>
    <r>
      <rPr>
        <sz val="12"/>
        <color indexed="10"/>
        <rFont val="Times New Roman"/>
        <family val="1"/>
        <charset val="238"/>
      </rPr>
      <t>4</t>
    </r>
    <r>
      <rPr>
        <sz val="12"/>
        <rFont val="Times New Roman"/>
        <family val="1"/>
        <charset val="238"/>
      </rPr>
      <t>)_účelové prostriedky na študentské domovy</t>
    </r>
  </si>
  <si>
    <r>
      <t>Údaje v R7_SA (SB) sú kontrolované na  dotačné zmluvy a na účelovú dotáciu na rok 201</t>
    </r>
    <r>
      <rPr>
        <sz val="12"/>
        <color indexed="10"/>
        <rFont val="Times New Roman"/>
        <family val="1"/>
        <charset val="238"/>
      </rPr>
      <t>4,</t>
    </r>
    <r>
      <rPr>
        <sz val="12"/>
        <rFont val="Times New Roman"/>
        <family val="1"/>
        <charset val="238"/>
      </rPr>
      <t xml:space="preserve"> 201</t>
    </r>
    <r>
      <rPr>
        <sz val="12"/>
        <color indexed="10"/>
        <rFont val="Times New Roman"/>
        <family val="1"/>
        <charset val="238"/>
      </rPr>
      <t xml:space="preserve">5 </t>
    </r>
    <r>
      <rPr>
        <sz val="12"/>
        <rFont val="Times New Roman"/>
        <family val="1"/>
        <charset val="238"/>
      </rPr>
      <t>v zmysle databázy VVŠ.</t>
    </r>
  </si>
  <si>
    <r>
      <t>T10_R12 = štatistické výkazy MŠVVaŠ SR 201</t>
    </r>
    <r>
      <rPr>
        <sz val="12"/>
        <color indexed="10"/>
        <rFont val="Times New Roman"/>
        <family val="1"/>
        <charset val="238"/>
      </rPr>
      <t>4</t>
    </r>
    <r>
      <rPr>
        <sz val="12"/>
        <rFont val="Times New Roman"/>
        <family val="1"/>
        <charset val="238"/>
      </rPr>
      <t xml:space="preserve"> (2015)</t>
    </r>
  </si>
  <si>
    <r>
      <t>Údaje v T11_R2 - tvorba fondu reprodukcie za roky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r>
      <rPr>
        <sz val="12"/>
        <rFont val="Times New Roman"/>
        <family val="1"/>
        <charset val="238"/>
      </rPr>
      <t xml:space="preserve"> sa musia rovnať údajom v T13_R2_SC (SD). 
</t>
    </r>
    <r>
      <rPr>
        <strike/>
        <sz val="12"/>
        <rFont val="Times New Roman"/>
        <family val="1"/>
        <charset val="238"/>
      </rPr>
      <t/>
    </r>
  </si>
  <si>
    <r>
      <t>T12_R15_SG = výkazníctvo 201</t>
    </r>
    <r>
      <rPr>
        <sz val="12"/>
        <color indexed="10"/>
        <rFont val="Times New Roman"/>
        <family val="1"/>
        <charset val="238"/>
      </rPr>
      <t>5</t>
    </r>
    <r>
      <rPr>
        <sz val="12"/>
        <color indexed="8"/>
        <rFont val="Times New Roman"/>
        <family val="1"/>
        <charset val="238"/>
      </rPr>
      <t>, kategória 700, všetky zdroje</t>
    </r>
  </si>
  <si>
    <r>
      <t xml:space="preserve">Údaje v R15,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</si>
  <si>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T13_R9_SF = T4_R15_SB</t>
  </si>
  <si>
    <t>Súvzťažnosť tvorby štipendijného fondu z výnosov zo školného v T13_R9_SF na T4_R15_SB.</t>
  </si>
  <si>
    <r>
      <t>Stavy fondov k 1.1. a k 31.12.201</t>
    </r>
    <r>
      <rPr>
        <sz val="12"/>
        <color indexed="10"/>
        <rFont val="Times New Roman"/>
        <family val="1"/>
        <charset val="238"/>
      </rPr>
      <t xml:space="preserve">5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</si>
  <si>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r>
      <t>Tvorba fondu reprodukcie z odpisov v roku 20</t>
    </r>
    <r>
      <rPr>
        <sz val="12"/>
        <color indexed="10"/>
        <rFont val="Times New Roman"/>
        <family val="1"/>
        <charset val="238"/>
      </rPr>
      <t>15</t>
    </r>
    <r>
      <rPr>
        <sz val="12"/>
        <rFont val="Times New Roman"/>
        <family val="1"/>
        <charset val="238"/>
      </rPr>
      <t xml:space="preserve"> sa rovná odpisom ostatného DN a HM za rok 201</t>
    </r>
    <r>
      <rPr>
        <sz val="12"/>
        <color indexed="10"/>
        <rFont val="Times New Roman"/>
        <family val="1"/>
        <charset val="238"/>
      </rPr>
      <t>5</t>
    </r>
    <r>
      <rPr>
        <sz val="12"/>
        <rFont val="Times New Roman"/>
        <family val="1"/>
        <charset val="238"/>
      </rPr>
      <t xml:space="preserve"> </t>
    </r>
    <r>
      <rPr>
        <sz val="12"/>
        <color indexed="8"/>
        <rFont val="Times New Roman"/>
        <family val="1"/>
        <charset val="238"/>
      </rPr>
      <t>(T5_R86_SC+SD)</t>
    </r>
  </si>
  <si>
    <r>
      <t>Údaje v T17 sú kontrolované na hodnoty z výkazníctva, finančné prostriedky z EÚ (vrátane spolufinancovania zo štátneho rozpočtu), zabezpečované prostredníctvom MŠVVaŠ SR v roku 201</t>
    </r>
    <r>
      <rPr>
        <sz val="12"/>
        <color indexed="10"/>
        <rFont val="Times New Roman"/>
        <family val="1"/>
        <charset val="238"/>
      </rPr>
      <t>5</t>
    </r>
    <r>
      <rPr>
        <sz val="12"/>
        <rFont val="Times New Roman"/>
        <family val="1"/>
        <charset val="238"/>
      </rPr>
      <t xml:space="preserve">. </t>
    </r>
  </si>
  <si>
    <r>
      <t>Údaje sú kontrolované na dotačnú zmluvu na 20</t>
    </r>
    <r>
      <rPr>
        <sz val="12"/>
        <color indexed="10"/>
        <rFont val="Times New Roman"/>
        <family val="1"/>
        <charset val="238"/>
      </rPr>
      <t>15</t>
    </r>
    <r>
      <rPr>
        <sz val="12"/>
        <rFont val="Times New Roman"/>
        <family val="1"/>
        <charset val="238"/>
      </rPr>
      <t xml:space="preserve"> a na rozpis účelových dotácií na podprograme 077 15 02. 
Výška dotácií na motivačné štipendiá z T20_R2_SA(SB) sa musí rovnať celkovému objemu dotácií, uvedenom v T1_R13_SA .
Súvzťažnosť s T13 - stav a vývoj finančných fondov, stĺpce SE,SF. </t>
    </r>
    <r>
      <rPr>
        <sz val="12"/>
        <color indexed="10"/>
        <rFont val="Times New Roman"/>
        <family val="1"/>
        <charset val="238"/>
      </rPr>
      <t xml:space="preserve">
</t>
    </r>
    <r>
      <rPr>
        <sz val="12"/>
        <rFont val="Times New Roman"/>
        <family val="1"/>
        <charset val="238"/>
      </rPr>
      <t>Údaje T20_R3_SB by sa mali rovnať  súčtu kódov 4, 5, 6, 7, 8, 19 z CRŠ.</t>
    </r>
  </si>
  <si>
    <r>
      <t>Celková hodnota účtu 384 za rok 201</t>
    </r>
    <r>
      <rPr>
        <sz val="12"/>
        <color indexed="10"/>
        <rFont val="Times New Roman"/>
        <family val="1"/>
        <charset val="238"/>
      </rPr>
      <t>4</t>
    </r>
    <r>
      <rPr>
        <sz val="12"/>
        <rFont val="Times New Roman"/>
        <family val="1"/>
        <charset val="238"/>
      </rPr>
      <t xml:space="preserve"> a 201</t>
    </r>
    <r>
      <rPr>
        <sz val="12"/>
        <color indexed="10"/>
        <rFont val="Times New Roman"/>
        <family val="1"/>
        <charset val="238"/>
      </rPr>
      <t>5</t>
    </r>
    <r>
      <rPr>
        <sz val="12"/>
        <rFont val="Times New Roman"/>
        <family val="1"/>
        <charset val="238"/>
      </rPr>
      <t>,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t>
    </r>
    <r>
      <rPr>
        <sz val="12"/>
        <color indexed="10"/>
        <rFont val="Times New Roman"/>
        <family val="1"/>
        <charset val="238"/>
      </rPr>
      <t>4</t>
    </r>
    <r>
      <rPr>
        <sz val="12"/>
        <rFont val="Times New Roman"/>
        <family val="1"/>
        <charset val="238"/>
      </rPr>
      <t>), resp. SI (201</t>
    </r>
    <r>
      <rPr>
        <sz val="12"/>
        <color indexed="10"/>
        <rFont val="Times New Roman"/>
        <family val="1"/>
        <charset val="238"/>
      </rPr>
      <t>5</t>
    </r>
    <r>
      <rPr>
        <sz val="12"/>
        <rFont val="Times New Roman"/>
        <family val="1"/>
        <charset val="238"/>
      </rPr>
      <t>). 
Údaje za rok 201</t>
    </r>
    <r>
      <rPr>
        <sz val="12"/>
        <color indexed="10"/>
        <rFont val="Times New Roman"/>
        <family val="1"/>
        <charset val="238"/>
      </rPr>
      <t>3</t>
    </r>
    <r>
      <rPr>
        <sz val="12"/>
        <rFont val="Times New Roman"/>
        <family val="1"/>
        <charset val="238"/>
      </rPr>
      <t xml:space="preserve"> musia byť totožné s údajmi, ktoré VVŠ predložili k výsledkom hospodárenia VVŠ za rok 201</t>
    </r>
    <r>
      <rPr>
        <sz val="12"/>
        <color indexed="10"/>
        <rFont val="Times New Roman"/>
        <family val="1"/>
        <charset val="238"/>
      </rPr>
      <t>3</t>
    </r>
    <r>
      <rPr>
        <sz val="12"/>
        <rFont val="Times New Roman"/>
        <family val="1"/>
        <charset val="238"/>
      </rPr>
      <t xml:space="preserve">. </t>
    </r>
  </si>
  <si>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t>
    </r>
    <r>
      <rPr>
        <sz val="12"/>
        <color indexed="10"/>
        <rFont val="Times New Roman"/>
        <family val="1"/>
        <charset val="238"/>
      </rPr>
      <t>5</t>
    </r>
    <r>
      <rPr>
        <sz val="12"/>
        <rFont val="Times New Roman"/>
        <family val="1"/>
        <charset val="238"/>
      </rPr>
      <t xml:space="preserve">  rovná súčtu zvyšku prijatej kapitálovej dotácie na kompenzáciu odpisov z roku 201</t>
    </r>
    <r>
      <rPr>
        <sz val="12"/>
        <color indexed="10"/>
        <rFont val="Times New Roman"/>
        <family val="1"/>
        <charset val="238"/>
      </rPr>
      <t>4</t>
    </r>
    <r>
      <rPr>
        <sz val="12"/>
        <rFont val="Times New Roman"/>
        <family val="1"/>
        <charset val="238"/>
      </rPr>
      <t xml:space="preserve"> (stĺpec SA) a výšky kapitálovej dotácie (201</t>
    </r>
    <r>
      <rPr>
        <sz val="12"/>
        <color indexed="10"/>
        <rFont val="Times New Roman"/>
        <family val="1"/>
        <charset val="238"/>
      </rPr>
      <t>4</t>
    </r>
    <r>
      <rPr>
        <sz val="12"/>
        <rFont val="Times New Roman"/>
        <family val="1"/>
        <charset val="238"/>
      </rPr>
      <t xml:space="preserve">) z </t>
    </r>
    <r>
      <rPr>
        <sz val="12"/>
        <color indexed="8"/>
        <rFont val="Times New Roman"/>
        <family val="1"/>
        <charset val="238"/>
      </rPr>
      <t xml:space="preserve">T11_R10_SB, zníženému o odpisy, vykazované v T5_R85_SC. </t>
    </r>
  </si>
  <si>
    <r>
      <t>V stĺpci S</t>
    </r>
    <r>
      <rPr>
        <sz val="12"/>
        <color indexed="10"/>
        <rFont val="Times New Roman"/>
        <family val="1"/>
        <charset val="238"/>
      </rPr>
      <t xml:space="preserve">H </t>
    </r>
    <r>
      <rPr>
        <sz val="12"/>
        <rFont val="Times New Roman"/>
        <family val="1"/>
        <charset val="238"/>
      </rPr>
      <t>sa zvyšok prijatej kapitálovej dotácie, používanej na kompenzáciu odpisov za rok 201</t>
    </r>
    <r>
      <rPr>
        <sz val="12"/>
        <color indexed="10"/>
        <rFont val="Times New Roman"/>
        <family val="1"/>
        <charset val="238"/>
      </rPr>
      <t>5</t>
    </r>
    <r>
      <rPr>
        <sz val="12"/>
        <rFont val="Times New Roman"/>
        <family val="1"/>
        <charset val="238"/>
      </rPr>
      <t xml:space="preserve">  rovná súčtu zvyšku prijatej kapitálovej dotácie na kompenzáciu odpisov z roku 201</t>
    </r>
    <r>
      <rPr>
        <sz val="12"/>
        <color indexed="10"/>
        <rFont val="Times New Roman"/>
        <family val="1"/>
        <charset val="238"/>
      </rPr>
      <t xml:space="preserve">4 </t>
    </r>
    <r>
      <rPr>
        <sz val="12"/>
        <rFont val="Times New Roman"/>
        <family val="1"/>
        <charset val="238"/>
      </rPr>
      <t>(stĺpec SB) a výšky kapitálovej dotácie (201</t>
    </r>
    <r>
      <rPr>
        <sz val="12"/>
        <color indexed="10"/>
        <rFont val="Times New Roman"/>
        <family val="1"/>
        <charset val="238"/>
      </rPr>
      <t>4</t>
    </r>
    <r>
      <rPr>
        <sz val="12"/>
        <rFont val="Times New Roman"/>
        <family val="1"/>
        <charset val="238"/>
      </rPr>
      <t xml:space="preserve">) z </t>
    </r>
    <r>
      <rPr>
        <sz val="12"/>
        <color indexed="8"/>
        <rFont val="Times New Roman"/>
        <family val="1"/>
        <charset val="238"/>
      </rPr>
      <t xml:space="preserve">T11_R10a_SB, zníženému o odpisy, vykazované v T5_R86a_SC. </t>
    </r>
  </si>
  <si>
    <r>
      <t>Súvaha k 31. 12. 201</t>
    </r>
    <r>
      <rPr>
        <sz val="12"/>
        <color rgb="FFFF0000"/>
        <rFont val="Times New Roman"/>
        <family val="1"/>
        <charset val="238"/>
      </rPr>
      <t>5</t>
    </r>
    <r>
      <rPr>
        <sz val="12"/>
        <color indexed="10"/>
        <rFont val="Times New Roman"/>
        <family val="1"/>
        <charset val="238"/>
      </rPr>
      <t xml:space="preserve"> </t>
    </r>
    <r>
      <rPr>
        <sz val="12"/>
        <rFont val="Times New Roman"/>
        <family val="1"/>
        <charset val="238"/>
      </rPr>
      <t xml:space="preserve">- Strana aktív 1. časť </t>
    </r>
  </si>
  <si>
    <r>
      <t>Súvaha k 31. 12. 201</t>
    </r>
    <r>
      <rPr>
        <sz val="12"/>
        <color rgb="FFFF0000"/>
        <rFont val="Times New Roman"/>
        <family val="1"/>
        <charset val="238"/>
      </rPr>
      <t>5</t>
    </r>
    <r>
      <rPr>
        <sz val="12"/>
        <color rgb="FF00B050"/>
        <rFont val="Times New Roman"/>
        <family val="1"/>
        <charset val="238"/>
      </rPr>
      <t xml:space="preserve"> </t>
    </r>
    <r>
      <rPr>
        <sz val="12"/>
        <rFont val="Times New Roman"/>
        <family val="1"/>
        <charset val="238"/>
      </rPr>
      <t>- Strana aktív 2. časť</t>
    </r>
  </si>
  <si>
    <r>
      <t>Súvaha k 31. 12. 201</t>
    </r>
    <r>
      <rPr>
        <sz val="12"/>
        <color rgb="FFFF0000"/>
        <rFont val="Times New Roman"/>
        <family val="1"/>
        <charset val="238"/>
      </rPr>
      <t>5</t>
    </r>
    <r>
      <rPr>
        <sz val="12"/>
        <rFont val="Times New Roman"/>
        <family val="1"/>
        <charset val="238"/>
      </rPr>
      <t xml:space="preserve"> - Strana pasív</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</si>
  <si>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t>
    </r>
    <r>
      <rPr>
        <sz val="12"/>
        <color rgb="FFFF0000"/>
        <rFont val="Times New Roman"/>
        <family val="1"/>
        <charset val="238"/>
      </rPr>
      <t>5</t>
    </r>
    <r>
      <rPr>
        <sz val="12"/>
        <color rgb="FF00B050"/>
        <rFont val="Times New Roman"/>
        <family val="1"/>
        <charset val="238"/>
      </rPr>
      <t xml:space="preserve"> </t>
    </r>
    <r>
      <rPr>
        <sz val="12"/>
        <rFont val="Times New Roman"/>
        <family val="1"/>
        <charset val="238"/>
      </rPr>
      <t xml:space="preserve"> na programe 077 </t>
    </r>
  </si>
  <si>
    <r>
      <t>Príjmy verejnej vysokej školy v roku 201</t>
    </r>
    <r>
      <rPr>
        <sz val="12"/>
        <color rgb="FFFF0000"/>
        <rFont val="Times New Roman"/>
        <family val="1"/>
        <charset val="238"/>
      </rPr>
      <t>5</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</si>
  <si>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Vysvetlivky k tabuľkám výročnej správy o hospodárení verejných vysokých škôl za rok 201</t>
    </r>
    <r>
      <rPr>
        <sz val="12"/>
        <color indexed="10"/>
        <rFont val="Times New Roman"/>
        <family val="1"/>
        <charset val="238"/>
      </rPr>
      <t>5</t>
    </r>
  </si>
  <si>
    <r>
      <t>Súvzťažnosti tabuliek výročnej správy o hospodárení verejných vysokých škôl za rok 201</t>
    </r>
    <r>
      <rPr>
        <sz val="12"/>
        <color indexed="10"/>
        <rFont val="Times New Roman"/>
        <family val="1"/>
        <charset val="238"/>
      </rPr>
      <t>5</t>
    </r>
  </si>
  <si>
    <r>
      <t>Príjmy z dotácií verejnej vysokej škole zo štátneho rozpočtu z kapitoly MŠVVaŠ SR poskytnuté mimo programu 077 a mimo príjmov z prostriedkov EÚ (zo štrukturálnych fondov) v roku 201</t>
    </r>
    <r>
      <rPr>
        <sz val="12"/>
        <color rgb="FFFF0000"/>
        <rFont val="Times New Roman"/>
        <family val="1"/>
        <charset val="238"/>
      </rPr>
      <t>5</t>
    </r>
    <r>
      <rPr>
        <sz val="12"/>
        <color rgb="FF00B050"/>
        <rFont val="Times New Roman"/>
        <family val="1"/>
        <charset val="238"/>
      </rPr>
      <t xml:space="preserve"> </t>
    </r>
  </si>
  <si>
    <r>
      <t>Štruktúra a stav finančných prostriedkov na bankových účtoch verejnej vysokej školy k 31. decembru 201</t>
    </r>
    <r>
      <rPr>
        <sz val="12"/>
        <color rgb="FFFF0000"/>
        <rFont val="Times New Roman"/>
        <family val="1"/>
        <charset val="238"/>
      </rPr>
      <t>5</t>
    </r>
    <r>
      <rPr>
        <sz val="12"/>
        <color rgb="FF00B050"/>
        <rFont val="Times New Roman"/>
        <family val="1"/>
        <charset val="238"/>
      </rPr>
      <t xml:space="preserve"> </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</si>
  <si>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t>
    </r>
    <r>
      <rPr>
        <sz val="12"/>
        <color rgb="FFFF0000"/>
        <rFont val="Times New Roman"/>
        <family val="1"/>
        <charset val="238"/>
      </rPr>
      <t>5</t>
    </r>
    <r>
      <rPr>
        <sz val="12"/>
        <rFont val="Times New Roman"/>
        <family val="1"/>
        <charset val="238"/>
      </rPr>
      <t>.</t>
    </r>
  </si>
  <si>
    <r>
      <t>Tabuľka č. 16 poskytuje informácie o objeme a štruktúre finančných prostriedkov na bankových účtoch verejnej vysokej školy  k 31. 12. 201</t>
    </r>
    <r>
      <rPr>
        <b/>
        <sz val="12"/>
        <color rgb="FFFF0000"/>
        <rFont val="Times New Roman"/>
        <family val="1"/>
        <charset val="238"/>
      </rPr>
      <t>5</t>
    </r>
    <r>
      <rPr>
        <b/>
        <sz val="12"/>
        <rFont val="Times New Roman"/>
        <family val="1"/>
        <charset val="238"/>
      </rPr>
      <t xml:space="preserve">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r>
  </si>
  <si>
    <r>
      <t>Zamestnanci a náklady na mzdy verejnej vysokej školy v roku 201</t>
    </r>
    <r>
      <rPr>
        <sz val="12"/>
        <color indexed="10"/>
        <rFont val="Times New Roman"/>
        <family val="1"/>
        <charset val="238"/>
      </rPr>
      <t>5</t>
    </r>
    <r>
      <rPr>
        <sz val="12"/>
        <color theme="1"/>
        <rFont val="Times New Roman"/>
        <family val="1"/>
        <charset val="238"/>
      </rPr>
      <t xml:space="preserve"> - len ženy</t>
    </r>
  </si>
  <si>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</si>
  <si>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</si>
  <si>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</si>
  <si>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r>
      <t>Údaje v riadkoch R1:R6, R7, R9, R13, R14, R16, R17  sú kontrolované s údajmi v štatistickom výkaze Škol (MŠ SR) 2-04 za rok 201</t>
    </r>
    <r>
      <rPr>
        <sz val="12"/>
        <color indexed="10"/>
        <rFont val="Times New Roman"/>
        <family val="1"/>
        <charset val="238"/>
      </rPr>
      <t>5.</t>
    </r>
    <r>
      <rPr>
        <sz val="12"/>
        <rFont val="Times New Roman"/>
        <family val="1"/>
        <charset val="238"/>
      </rPr>
      <t xml:space="preserve"> 
Údaje v riadkoch 15a ... (špecifiká) sú kontrolované na rozpis dotácie v roku 201</t>
    </r>
    <r>
      <rPr>
        <sz val="12"/>
        <color indexed="10"/>
        <rFont val="Times New Roman"/>
        <family val="1"/>
        <charset val="238"/>
      </rPr>
      <t>5</t>
    </r>
    <r>
      <rPr>
        <sz val="12"/>
        <rFont val="Times New Roman"/>
        <family val="1"/>
        <charset val="238"/>
      </rPr>
      <t>.</t>
    </r>
    <r>
      <rPr>
        <b/>
        <sz val="12"/>
        <color indexed="12"/>
        <rFont val="Times New Roman"/>
        <family val="1"/>
        <charset val="238"/>
      </rPr>
      <t xml:space="preserve"> </t>
    </r>
    <r>
      <rPr>
        <u/>
        <sz val="12"/>
        <rFont val="Times New Roman"/>
        <family val="1"/>
        <charset val="238"/>
      </rPr>
      <t>Rozdiel medzi údajom v T6_R18_SH a údajmi v T5_R56_SC+SD (Mzdy) je potrebné vyčísliť s komentárom uviesť v poznámke pod tabuľkou T6.</t>
    </r>
  </si>
  <si>
    <r>
      <t>T11_SB_R10a = T17_SC+SD_R10,  (</t>
    </r>
    <r>
      <rPr>
        <sz val="12"/>
        <color indexed="10"/>
        <rFont val="Times New Roman"/>
        <family val="1"/>
        <charset val="238"/>
      </rPr>
      <t>nie R21a)</t>
    </r>
  </si>
  <si>
    <r>
      <t>T21_R1_SF  = výkazníctvo 201</t>
    </r>
    <r>
      <rPr>
        <sz val="12"/>
        <color indexed="10"/>
        <rFont val="Times New Roman"/>
        <family val="1"/>
        <charset val="238"/>
      </rPr>
      <t>4</t>
    </r>
    <r>
      <rPr>
        <sz val="12"/>
        <rFont val="Times New Roman"/>
        <family val="1"/>
        <charset val="238"/>
      </rPr>
      <t xml:space="preserve"> súvaha, časť pasíva, riadok 103, predchádzajúce účtovné obdobie
T21_R1_SL = výkazníctvo 201</t>
    </r>
    <r>
      <rPr>
        <sz val="12"/>
        <color indexed="10"/>
        <rFont val="Times New Roman"/>
        <family val="1"/>
        <charset val="238"/>
      </rPr>
      <t>5</t>
    </r>
    <r>
      <rPr>
        <sz val="12"/>
        <rFont val="Times New Roman"/>
        <family val="1"/>
        <charset val="238"/>
      </rPr>
      <t xml:space="preserve">, súvaha, časť pasíva, riadok 103, bežné účtovné obdobie </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</si>
  <si>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</si>
  <si>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</si>
  <si>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</si>
  <si>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 xml:space="preserve">Nevyčerpaná účelová dotácia (+) / nedoplatok účelovej dotácie (-) za rok 2014 </t>
  </si>
  <si>
    <r>
      <t xml:space="preserve">Nevyčerpaná účelová dotácia (+) / nedoplatok účelovej dotácie (-) za rok </t>
    </r>
    <r>
      <rPr>
        <sz val="12"/>
        <color indexed="10"/>
        <rFont val="Times New Roman"/>
        <family val="1"/>
        <charset val="238"/>
      </rPr>
      <t xml:space="preserve">2015 </t>
    </r>
  </si>
  <si>
    <t>v januári  2016 za december 2015</t>
  </si>
  <si>
    <r>
      <t xml:space="preserve">1) V prípade, že ešte niektorá VVŠ vypláca doktorandské štipendiá pozadu (ako "mzdy zamestancom"), výška nákladov vykazovaná k </t>
    </r>
    <r>
      <rPr>
        <sz val="12"/>
        <color indexed="10"/>
        <rFont val="Times New Roman"/>
        <family val="1"/>
        <charset val="238"/>
      </rPr>
      <t xml:space="preserve">31.12.2015 </t>
    </r>
    <r>
      <rPr>
        <sz val="12"/>
        <rFont val="Times New Roman"/>
        <family val="2"/>
        <charset val="238"/>
      </rPr>
      <t>zohľadnuje aj úhradu štipendií doktorandov, vyplatených</t>
    </r>
  </si>
  <si>
    <r>
      <t xml:space="preserve">Dotácia na štipendiá doktorandov poskytnutá v rámci dotačnej zmluvy v roku </t>
    </r>
    <r>
      <rPr>
        <sz val="12"/>
        <color indexed="10"/>
        <rFont val="Times New Roman"/>
        <family val="1"/>
        <charset val="238"/>
      </rPr>
      <t>2015</t>
    </r>
  </si>
  <si>
    <r>
      <t>Počet osobomesiacov za rok</t>
    </r>
    <r>
      <rPr>
        <sz val="12"/>
        <color indexed="10"/>
        <rFont val="Times New Roman"/>
        <family val="1"/>
        <charset val="238"/>
      </rPr>
      <t xml:space="preserve"> 2015</t>
    </r>
  </si>
  <si>
    <t xml:space="preserve"> na miestach pridelených MŠVVaŠ SR
pred 1.9. 2012</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</si>
  <si>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</si>
  <si>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</si>
  <si>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</si>
  <si>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z toho PČ (jednou sumou z R15,SG)</t>
  </si>
  <si>
    <t>Tabuľka č. 17: Príjmy verejnej vysokej školy z prostriedkov EÚ a z prostriedkov na ich spolufinancovanie 
zo štátneho rozpočtu z kapitoly MŠVVaŠ SR a z iných kapitol štátneho rozpočtu v roku 2015</t>
  </si>
  <si>
    <t>Tabuľka č. 16: Štruktúra a stav finančných prostriedkov na bankových účtoch verejnej vysokej školy
   k 31. decembru 2015</t>
  </si>
  <si>
    <t>Tabuľka č. 13: Stav a vývoj finančných fondov verejnej vysokej školy v rokoch 2014 a 2015</t>
  </si>
  <si>
    <t>Tabuľka č. 12: Výdavky verejnej vysokej školy na obstaranie a technické zhodnotenie dlhodobého majetku v roku 2015</t>
  </si>
  <si>
    <t>Stav účtu k 31.12.2015</t>
  </si>
  <si>
    <t>Tabuľka č. 11: Zdroje verejnej vysokej školy na obstaranie a technické zhodnotenie dlhodobého  majetku v rokoch 2014 a 2015</t>
  </si>
  <si>
    <r>
      <t xml:space="preserve">  - náklady na časť štipendia prevyšujúce 9. platovú triedu a 1. platový stupeň   </t>
    </r>
    <r>
      <rPr>
        <i/>
        <sz val="12"/>
        <rFont val="Times New Roman"/>
        <family val="1"/>
        <charset val="238"/>
      </rPr>
      <t>(kód 16)</t>
    </r>
  </si>
  <si>
    <r>
      <t xml:space="preserve">  - náklady na časť štipendia prevyšujúce 10. platovú triedu a 1. platový stupeň </t>
    </r>
    <r>
      <rPr>
        <i/>
        <sz val="12"/>
        <rFont val="Times New Roman"/>
        <family val="1"/>
        <charset val="238"/>
      </rPr>
      <t xml:space="preserve"> (kód 16)</t>
    </r>
  </si>
  <si>
    <t xml:space="preserve">Tabuľka č. 7: Náklady verejnej vysokej školy na štipendiá interných doktorandov v roku 2015 </t>
  </si>
  <si>
    <t xml:space="preserve">Tabuľka č. 19: Štipendiá z vlastných zdrojov podľa § 97 zákona v rokoch 2014 a 2015 </t>
  </si>
  <si>
    <t xml:space="preserve">Tabuľka č. 20: Motivačné štipendiá  v rokoch 2014 a 2015 (v zmysle § 96a  zákona )  </t>
  </si>
  <si>
    <r>
      <t>Nevyčerpaná dotácia (+) / nedoplatok dotácie (-) k 31. 12. kalendárneho roka</t>
    </r>
    <r>
      <rPr>
        <b/>
        <vertAlign val="superscript"/>
        <sz val="12"/>
        <rFont val="Times New Roman"/>
        <family val="1"/>
        <charset val="238"/>
      </rPr>
      <t xml:space="preserve">1) </t>
    </r>
    <r>
      <rPr>
        <b/>
        <sz val="12"/>
        <rFont val="Times New Roman"/>
        <family val="1"/>
        <charset val="238"/>
      </rPr>
      <t xml:space="preserve">  [R1+R2-R3]                       </t>
    </r>
  </si>
  <si>
    <t>T16_R18_SB = výkazníctvo, súvaha, časť Aktíva, riadok 053,</t>
  </si>
  <si>
    <r>
      <t>Globálna hodnota na bankových účtoch z R18 sa kontroluje na Súvahu, časť Aktíva, r. 053.
Ak nie je údaj v R2 (dotačný účet) k 31. 12. 201</t>
    </r>
    <r>
      <rPr>
        <sz val="12"/>
        <color rgb="FF00B050"/>
        <rFont val="Times New Roman"/>
        <family val="1"/>
        <charset val="238"/>
      </rPr>
      <t>5</t>
    </r>
    <r>
      <rPr>
        <sz val="12"/>
        <color indexed="10"/>
        <rFont val="Times New Roman"/>
        <family val="1"/>
        <charset val="238"/>
      </rPr>
      <t xml:space="preserve"> </t>
    </r>
    <r>
      <rPr>
        <b/>
        <u/>
        <sz val="12"/>
        <rFont val="Times New Roman"/>
        <family val="1"/>
        <charset val="238"/>
      </rPr>
      <t>vynulovaný,  je potrebné doplniť vysvetlenie v stĺpci C.</t>
    </r>
  </si>
  <si>
    <t>T11_R2_SA (SB) = T13_R2_SC (SD)</t>
  </si>
  <si>
    <t>T1 = dotačná zmluva na 2015</t>
  </si>
  <si>
    <r>
      <t>Bežná a kapitálová dotácia z programu 077 je kontrolovaná na "dotačnú zmluvu" na rok 201</t>
    </r>
    <r>
      <rPr>
        <sz val="12"/>
        <color rgb="FF00B050"/>
        <rFont val="Times New Roman"/>
        <family val="1"/>
        <charset val="238"/>
      </rPr>
      <t>5</t>
    </r>
    <r>
      <rPr>
        <sz val="12"/>
        <color indexed="10"/>
        <rFont val="Times New Roman"/>
        <family val="1"/>
        <charset val="238"/>
      </rPr>
      <t xml:space="preserve"> </t>
    </r>
    <r>
      <rPr>
        <sz val="12"/>
        <rFont val="Times New Roman"/>
        <family val="1"/>
        <charset val="238"/>
      </rPr>
      <t xml:space="preserve">a jej dodatky. Dotácie na kapitálové výdavky sa kontrolujú aj na T11, sociálne a motivačné štipendiá na T8 a T20.  
</t>
    </r>
  </si>
  <si>
    <t>Stav štipendijného fondu k 31. 12. uvedený v R12_SF nemá byť nižší ako súčet zostatku nevyčerpanej dotácie na sociálne štipendiá v T8_R6_SC a na motivačné štipendiá v T20_R4_(SB).</t>
  </si>
  <si>
    <t>T13_R12_SF ≥T8_R6_SC + T20_R4_(SB)</t>
  </si>
  <si>
    <t>Ak položke požadovanej v tabuľke zodpovedá podľa predpísanej analytickej evidencie na príslušnom syntetickom  účte  nejaký špecifikcký kód (napríklad kód ekonomickej klasifikácie), uvedie sa tento kód za názvom položky.</t>
  </si>
  <si>
    <t>Tabuľka č. 7 poskytuje informácie o  počte interných doktorandov, o nákladoch vysokej školy na štipendiá doktorandov a o ich krytí výnosmi.</t>
  </si>
  <si>
    <r>
      <t xml:space="preserve">Uvedie sa nevyčerpaná účelová dotácia (+) resp. nedoplatok účelovej dotácie (-) na štipendiá  doktorandov za rok 2015. Nevyčerpaná účelová dotácia znamená, že vysoká škola obdržala vyššiu dotáciu ako boli jej náklady na štipendiá doktorandov </t>
    </r>
    <r>
      <rPr>
        <b/>
        <sz val="12"/>
        <rFont val="Times New Roman"/>
        <family val="1"/>
        <charset val="238"/>
      </rPr>
      <t>(podľa stavu v CRŠ)</t>
    </r>
    <r>
      <rPr>
        <sz val="12"/>
        <rFont val="Times New Roman"/>
        <family val="1"/>
        <charset val="238"/>
      </rPr>
      <t xml:space="preserve">, vrátane výplaty štipendií v januári 2016 za december 2015. </t>
    </r>
    <r>
      <rPr>
        <b/>
        <sz val="12"/>
        <rFont val="Times New Roman"/>
        <family val="1"/>
        <charset val="238"/>
      </rPr>
      <t>Nevyčerpaná účelová dotácia z roku 2015 bude zúčtovaná v roku 2016.</t>
    </r>
  </si>
  <si>
    <r>
      <t>V stĺpci C sa uvedú náklady na štipendiá doktorandov (prijatých na štúdium do 31.8.2012)</t>
    </r>
    <r>
      <rPr>
        <sz val="12"/>
        <color indexed="8"/>
        <rFont val="Times New Roman"/>
        <family val="1"/>
        <charset val="238"/>
      </rPr>
      <t>,  na miestach nepridelených MŠVVaŠ SR.</t>
    </r>
  </si>
  <si>
    <r>
      <t>V stĺpci D sa uvedú náklady na štipendiá doktorandov (prijatých na štúdium po 1.9.2012</t>
    </r>
    <r>
      <rPr>
        <sz val="12"/>
        <color indexed="8"/>
        <rFont val="Times New Roman"/>
        <family val="1"/>
        <charset val="238"/>
      </rPr>
      <t>),  na miestach nepridelených MŠVVaŠ SR.</t>
    </r>
  </si>
  <si>
    <r>
      <t xml:space="preserve">Uvedie sa počet osobomesiacov, v ktorých bolo doktorandom poskytované štipendium. 
Napríklad: Ak doktorand poberal štipendium 12 mesiacov (celý rok), prispeje do tohto súčtu číslom 12 (SA).
Nový doktorand, ktorý začal poberať štipendium od 1. septembra 2015, prispeje do tohto súčtu číslom 4 (SD).
</t>
    </r>
    <r>
      <rPr>
        <sz val="12"/>
        <color indexed="8"/>
        <rFont val="Times New Roman"/>
        <family val="1"/>
        <charset val="238"/>
      </rPr>
      <t>V stĺpci A sa uvedú údaje dotýkajúce sa interných doktorandov financovaných z účelovej dotácie. 
V stĺpci D budú údaje zodpovedajúce interným doktorandom  (prijatých na štúdium po 1.9.2012) na miestach nepridelených MŠVVaŠ.</t>
    </r>
  </si>
  <si>
    <r>
      <t xml:space="preserve">V stĺpci A škola  uvedie náklady na štipendiá doktorandov, ktoré mala na doktorandov na miestach pridelených ministerstvom  </t>
    </r>
    <r>
      <rPr>
        <u/>
        <sz val="12"/>
        <rFont val="Times New Roman"/>
        <family val="1"/>
        <charset val="238"/>
      </rPr>
      <t>z</t>
    </r>
    <r>
      <rPr>
        <sz val="12"/>
        <rFont val="Times New Roman"/>
        <family val="1"/>
        <charset val="238"/>
      </rPr>
      <t xml:space="preserve"> </t>
    </r>
    <r>
      <rPr>
        <u/>
        <sz val="12"/>
        <rFont val="Times New Roman"/>
        <family val="1"/>
        <charset val="238"/>
      </rPr>
      <t>účelovej</t>
    </r>
    <r>
      <rPr>
        <sz val="12"/>
        <rFont val="Times New Roman"/>
        <family val="1"/>
        <charset val="238"/>
      </rPr>
      <t xml:space="preserve"> dotácie. </t>
    </r>
  </si>
  <si>
    <t>V stĺpci SA, resp. SC sa uvedú výdavky z dotácie na sociálne štipendiá poskytnuté študentom v danom kalendárnom roku, uvedené v Centrálnom registri študentov pod kódom 1.</t>
  </si>
  <si>
    <r>
      <t xml:space="preserve">Uvedú sa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</si>
  <si>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Uvedie sa zostatok kapitálovej dotácie na obstaranie a technické zhodnotenie dlhodobého majetku (nevyčerpané finančné  prostriedky k 31. 12. 201</t>
    </r>
    <r>
      <rPr>
        <sz val="12"/>
        <color indexed="10"/>
        <rFont val="Times New Roman"/>
        <family val="1"/>
        <charset val="238"/>
      </rPr>
      <t xml:space="preserve">4 </t>
    </r>
    <r>
      <rPr>
        <sz val="12"/>
        <color indexed="8"/>
        <rFont val="Times New Roman"/>
        <family val="1"/>
        <charset val="238"/>
      </rPr>
      <t>(stĺpec SA v R11), resp. k 31. 12. 201</t>
    </r>
    <r>
      <rPr>
        <sz val="12"/>
        <color indexed="10"/>
        <rFont val="Times New Roman"/>
        <family val="1"/>
        <charset val="238"/>
      </rPr>
      <t>5</t>
    </r>
    <r>
      <rPr>
        <sz val="12"/>
        <color indexed="8"/>
        <rFont val="Times New Roman"/>
        <family val="1"/>
        <charset val="238"/>
      </rPr>
      <t xml:space="preserve"> (stĺpec SB v R11) na zdrojoch 131x, 13S1, 13S2, 13T1,13T2.....(zostatky zo ŠR aj zo ŠF)</t>
    </r>
  </si>
  <si>
    <t>Uvedie sa objem prijatej kapitálovej dotácie z prostriedkov EÚ vrátane spolufinancovania (účet 346005 – 346008 strana DAL,  napr. zdroje 11S1, 11S2, 11T1, 11T2, (všetky zdroje EŠF na ktorých VVŠ účtuje, aj všetky analytické účty) okrem 11E1, 11E3 a 121 – viď riadok 13)</t>
  </si>
  <si>
    <r>
      <t>T12_S</t>
    </r>
    <r>
      <rPr>
        <sz val="12"/>
        <color rgb="FFFF0000"/>
        <rFont val="Times New Roman"/>
        <family val="1"/>
        <charset val="238"/>
      </rPr>
      <t>E</t>
    </r>
  </si>
  <si>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</si>
  <si>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</si>
  <si>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</si>
  <si>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r>
      <t>Ak má VVŠ finančné prostriedky zaúčtované na účte 261 - peniaze na ceste, z dôvodu kontroly stavu na bankových účtoch k 31. 12. 201</t>
    </r>
    <r>
      <rPr>
        <sz val="12"/>
        <color rgb="FFFF0000"/>
        <rFont val="Times New Roman"/>
        <family val="1"/>
        <charset val="238"/>
      </rPr>
      <t xml:space="preserve">5 </t>
    </r>
    <r>
      <rPr>
        <sz val="12"/>
        <rFont val="Times New Roman"/>
        <family val="1"/>
        <charset val="238"/>
      </rPr>
      <t xml:space="preserve">na údaje zo súvahy, uvedie ich v tomto riadku. </t>
    </r>
  </si>
  <si>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t>
    </r>
    <r>
      <rPr>
        <sz val="12"/>
        <color rgb="FFFF0000"/>
        <rFont val="Times New Roman"/>
        <family val="1"/>
        <charset val="238"/>
      </rPr>
      <t>5</t>
    </r>
    <r>
      <rPr>
        <sz val="12"/>
        <rFont val="Times New Roman"/>
        <family val="1"/>
        <charset val="238"/>
      </rPr>
      <t xml:space="preserve">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2015. </t>
    </r>
  </si>
  <si>
    <r>
      <t>Tabuľka č.19 poskytuje informácie o objeme a štruktúre štipendií  vyplácaných verejnou vysokou školou z vlastných zdrojov podľa § 97 zákona. Neobsahuje (201</t>
    </r>
    <r>
      <rPr>
        <b/>
        <sz val="12"/>
        <color indexed="10"/>
        <rFont val="Times New Roman"/>
        <family val="1"/>
        <charset val="238"/>
      </rPr>
      <t>5</t>
    </r>
    <r>
      <rPr>
        <b/>
        <sz val="12"/>
        <rFont val="Times New Roman"/>
        <family val="1"/>
        <charset val="238"/>
      </rPr>
      <t>) údaje o "normálnych" štipendiách vyplatených doktorandom.</t>
    </r>
  </si>
  <si>
    <t>Tabuľka č.19 poskytuje informácie o objeme a štruktúre mot. štipendií  vyplácaných verejnou vysokou školou z vlastných zdrojov uvedených v Centrálnom registri študentov s kódom 9.</t>
  </si>
  <si>
    <t>V stĺpci SB sa uvedú príjmy z dotácie na mot. štipendiá poskytnuté študentom v danom kalendárnom roku, uvedené v Centrálnom registri študentov s kódom 19.
V stĺpci SC sa uvedú príjmy z dotácie na mot. štipendiá poskytnuté študentom v danom kalendárnom roku, uvedené v Centrálnom registri študentov s kódmi 4, 5, 6, 7, 8.</t>
  </si>
  <si>
    <t>V stĺpci SB sa uvedú výdavky z dotácie na mot. štipendiá poskytnuté študentom v danom kalendárnom roku, uvedené v Centrálnom registri študentov s kódom 19.
V stĺpci SC sa uvedú výdavky z dotácie na mot. štipendiá poskytnuté študentom v danom kalendárnom roku, uvedené v Centrálnom registri študentov s kódmi 4, 5, 6, 7, 8.</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</si>
  <si>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</si>
  <si>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r>
      <t>Príspevok na jedno jedlo zo štátneho rozpočtu bol po celý rok  201</t>
    </r>
    <r>
      <rPr>
        <b/>
        <sz val="12"/>
        <color rgb="FFFF0000"/>
        <rFont val="Times New Roman"/>
        <family val="1"/>
        <charset val="238"/>
      </rPr>
      <t>5</t>
    </r>
    <r>
      <rPr>
        <b/>
        <sz val="12"/>
        <color indexed="8"/>
        <rFont val="Times New Roman"/>
        <family val="1"/>
        <charset val="238"/>
      </rPr>
      <t xml:space="preserve"> vo výške  1 euro. </t>
    </r>
  </si>
  <si>
    <r>
      <t>Bežná a kapitálová dotácia je kontrolovaná na Zmluvu o poskytnutí  dotácií  zo štátneho rozpočtu prostredníctvom kapitoly MŠVVaŠ (ďalej len "dotačná zmluva") na  programe  077 na rok 201</t>
    </r>
    <r>
      <rPr>
        <sz val="12"/>
        <color rgb="FFFF0000"/>
        <rFont val="Times New Roman"/>
        <family val="1"/>
        <charset val="238"/>
      </rPr>
      <t>5</t>
    </r>
    <r>
      <rPr>
        <sz val="12"/>
        <rFont val="Times New Roman"/>
        <family val="1"/>
        <charset val="238"/>
      </rPr>
      <t xml:space="preserve"> a jej dodatky.</t>
    </r>
  </si>
  <si>
    <t>T3a_V</t>
  </si>
  <si>
    <r>
      <t xml:space="preserve">Údaje o lôžkovej kapacite v T9_R1 sa kontrolujú na štatistické výkazy MŠVVaŠ SR  </t>
    </r>
    <r>
      <rPr>
        <sz val="12"/>
        <color rgb="FFFF0000"/>
        <rFont val="Times New Roman"/>
        <family val="1"/>
        <charset val="238"/>
      </rPr>
      <t>( posielané na CVTI SR)</t>
    </r>
    <r>
      <rPr>
        <sz val="12"/>
        <rFont val="Times New Roman"/>
        <family val="1"/>
        <charset val="238"/>
      </rPr>
      <t xml:space="preserve"> 201</t>
    </r>
    <r>
      <rPr>
        <sz val="12"/>
        <color indexed="10"/>
        <rFont val="Times New Roman"/>
        <family val="1"/>
        <charset val="238"/>
      </rPr>
      <t>4</t>
    </r>
    <r>
      <rPr>
        <sz val="12"/>
        <rFont val="Times New Roman"/>
        <family val="1"/>
        <charset val="238"/>
      </rPr>
      <t xml:space="preserve"> (201</t>
    </r>
    <r>
      <rPr>
        <sz val="12"/>
        <color indexed="10"/>
        <rFont val="Times New Roman"/>
        <family val="1"/>
        <charset val="238"/>
      </rPr>
      <t>5</t>
    </r>
    <r>
      <rPr>
        <sz val="12"/>
        <rFont val="Times New Roman"/>
        <family val="1"/>
        <charset val="238"/>
      </rPr>
      <t>).</t>
    </r>
  </si>
  <si>
    <r>
      <t xml:space="preserve">Údaje sa kontrolujú na štatistické údaje MŠVVaŠ SR zasielané </t>
    </r>
    <r>
      <rPr>
        <sz val="12"/>
        <color rgb="FFFF0000"/>
        <rFont val="Times New Roman"/>
        <family val="1"/>
        <charset val="238"/>
      </rPr>
      <t>CVTI SR</t>
    </r>
    <r>
      <rPr>
        <sz val="12"/>
        <rFont val="Times New Roman"/>
        <family val="1"/>
        <charset val="238"/>
      </rPr>
      <t>.</t>
    </r>
  </si>
  <si>
    <t>motivačné štipendiá podľa § 96a</t>
  </si>
  <si>
    <t>2) uvádzajú sa len motivačné štipendiá vyplatené podľa § 96a, ods.1, písm. a) (kód CRŠ 19)</t>
  </si>
  <si>
    <t>3) uvádzajú sa len motivačné štipendiá vyplatené podľa § 96a, ods.1, písm. b) (kódy v  CRŠ: 4, 5, 6, 7, 8)</t>
  </si>
  <si>
    <r>
      <rPr>
        <b/>
        <sz val="12"/>
        <rFont val="Times New Roman"/>
        <family val="1"/>
        <charset val="238"/>
      </rPr>
      <t>B</t>
    </r>
    <r>
      <rPr>
        <vertAlign val="superscript"/>
        <sz val="12"/>
        <rFont val="Times New Roman"/>
        <family val="1"/>
        <charset val="238"/>
      </rPr>
      <t>2)</t>
    </r>
  </si>
  <si>
    <r>
      <t>C</t>
    </r>
    <r>
      <rPr>
        <vertAlign val="superscript"/>
        <sz val="12"/>
        <rFont val="Times New Roman"/>
        <family val="1"/>
        <charset val="238"/>
      </rPr>
      <t>3)</t>
    </r>
  </si>
  <si>
    <r>
      <t xml:space="preserve">mot. štipendiá podľa 
§ 96a, ods.1, písm. a)
</t>
    </r>
    <r>
      <rPr>
        <b/>
        <sz val="12"/>
        <rFont val="Times New Roman"/>
        <family val="1"/>
        <charset val="238"/>
      </rPr>
      <t>(kód v CRŠ: 19)</t>
    </r>
  </si>
  <si>
    <r>
      <t xml:space="preserve">mot. štipendiá podľa 
§ 96a, ods.1, písm. b)
</t>
    </r>
    <r>
      <rPr>
        <b/>
        <sz val="12"/>
        <rFont val="Times New Roman"/>
        <family val="1"/>
        <charset val="238"/>
      </rPr>
      <t>(kódy v  CRŠ: 4, 5, 6, 7, 8)</t>
    </r>
  </si>
  <si>
    <t xml:space="preserve"> - za cudzojazyčné štúdium dennou formou (§ 92 ods. 8 a 9) (649 002, 649 023)</t>
  </si>
  <si>
    <t xml:space="preserve">- školné  (účet 649 001, 649 002, 649 020, 649 023, 649 026)                                                     </t>
  </si>
  <si>
    <t>- ostatné výnosy (účty 649 012, 649 018-019, 649 021-022, 649 024-025, 649 098 - 099)</t>
  </si>
  <si>
    <t>- za súbežné štúdium v dennej forme  (§ 92 ods. 5, 649 026)</t>
  </si>
  <si>
    <t>Výpočet</t>
  </si>
  <si>
    <t>Priemerné platy mužov</t>
  </si>
  <si>
    <t>Priemerné platy žien</t>
  </si>
  <si>
    <r>
      <t xml:space="preserve">Priemerný evidenčný prepočítaný počet </t>
    </r>
    <r>
      <rPr>
        <b/>
        <sz val="12"/>
        <rFont val="Times New Roman"/>
        <family val="1"/>
        <charset val="238"/>
      </rPr>
      <t>žien</t>
    </r>
    <r>
      <rPr>
        <b/>
        <sz val="12"/>
        <rFont val="Times New Roman"/>
        <family val="1"/>
      </rPr>
      <t xml:space="preserve"> za rok 201</t>
    </r>
    <r>
      <rPr>
        <b/>
        <sz val="12"/>
        <color rgb="FFFF0000"/>
        <rFont val="Times New Roman"/>
        <family val="1"/>
        <charset val="238"/>
      </rPr>
      <t>5</t>
    </r>
  </si>
  <si>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</si>
  <si>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</si>
  <si>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</si>
  <si>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</si>
  <si>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Tabuľka č. 6a: Zamestnanci a náklady na mzdy verejnej vysokej školy v roku 201</t>
    </r>
    <r>
      <rPr>
        <b/>
        <sz val="14"/>
        <color rgb="FFFF0000"/>
        <rFont val="Times New Roman"/>
        <family val="1"/>
        <charset val="238"/>
      </rPr>
      <t xml:space="preserve">5 </t>
    </r>
    <r>
      <rPr>
        <b/>
        <sz val="14"/>
        <rFont val="Times New Roman"/>
        <family val="1"/>
        <charset val="238"/>
      </rPr>
      <t xml:space="preserve">  -   len  ženy</t>
    </r>
    <r>
      <rPr>
        <b/>
        <sz val="14"/>
        <color indexed="10"/>
        <rFont val="Times New Roman"/>
        <family val="1"/>
        <charset val="238"/>
      </rPr>
      <t xml:space="preserve">  a výpočet priemerného platu mužov</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</si>
  <si>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</si>
  <si>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</si>
  <si>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</si>
  <si>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r>
      <t xml:space="preserve">Tabuľka č. 3 poskytuje informácie o </t>
    </r>
    <r>
      <rPr>
        <b/>
        <sz val="12"/>
        <rFont val="Times New Roman"/>
        <family val="1"/>
        <charset val="238"/>
      </rPr>
      <t>objeme a štruktúre výnosov  verejnej vysokej školy v rokoch 201</t>
    </r>
    <r>
      <rPr>
        <b/>
        <sz val="12"/>
        <color indexed="10"/>
        <rFont val="Times New Roman"/>
        <family val="1"/>
        <charset val="238"/>
      </rPr>
      <t>4</t>
    </r>
    <r>
      <rPr>
        <b/>
        <sz val="12"/>
        <rFont val="Times New Roman"/>
        <family val="1"/>
        <charset val="238"/>
      </rPr>
      <t xml:space="preserve"> a 201</t>
    </r>
    <r>
      <rPr>
        <b/>
        <sz val="12"/>
        <color indexed="10"/>
        <rFont val="Times New Roman"/>
        <family val="1"/>
        <charset val="238"/>
      </rPr>
      <t>5</t>
    </r>
    <r>
      <rPr>
        <b/>
        <sz val="12"/>
        <rFont val="Times New Roman"/>
        <family val="1"/>
        <charset val="238"/>
      </rPr>
      <t xml:space="preserve">.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</si>
  <si>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r>
      <t>Tabuľka č. 5 poskytuje informácie o</t>
    </r>
    <r>
      <rPr>
        <b/>
        <sz val="12"/>
        <rFont val="Times New Roman"/>
        <family val="1"/>
        <charset val="238"/>
      </rPr>
      <t xml:space="preserve"> objeme a štruktúre nákladov verejnej vysokej školy v rokoch 201</t>
    </r>
    <r>
      <rPr>
        <b/>
        <sz val="12"/>
        <color indexed="10"/>
        <rFont val="Times New Roman"/>
        <family val="1"/>
        <charset val="238"/>
      </rPr>
      <t xml:space="preserve">4 </t>
    </r>
    <r>
      <rPr>
        <b/>
        <sz val="12"/>
        <rFont val="Times New Roman"/>
        <family val="1"/>
        <charset val="238"/>
      </rPr>
      <t>a  201</t>
    </r>
    <r>
      <rPr>
        <b/>
        <sz val="12"/>
        <color indexed="10"/>
        <rFont val="Times New Roman"/>
        <family val="1"/>
        <charset val="238"/>
      </rPr>
      <t>5</t>
    </r>
    <r>
      <rPr>
        <b/>
        <sz val="12"/>
        <rFont val="Times New Roman"/>
        <family val="1"/>
        <charset val="238"/>
      </rPr>
      <t xml:space="preserve">.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</si>
  <si>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r>
      <t>na miestach nepridelených MŠVVaŠ SR do 31.8.2012</t>
    </r>
    <r>
      <rPr>
        <b/>
        <sz val="12"/>
        <color indexed="10"/>
        <rFont val="Times New Roman"/>
        <family val="1"/>
        <charset val="238"/>
      </rPr>
      <t xml:space="preserve">
 kódy (12 - 17)</t>
    </r>
  </si>
  <si>
    <r>
      <t xml:space="preserve">na miestach nepridelených MŠVVaŠ SR po 1.9.2012 </t>
    </r>
    <r>
      <rPr>
        <b/>
        <sz val="12"/>
        <color indexed="10"/>
        <rFont val="Times New Roman"/>
        <family val="1"/>
        <charset val="238"/>
      </rPr>
      <t xml:space="preserve">
</t>
    </r>
    <r>
      <rPr>
        <b/>
        <sz val="12"/>
        <color indexed="12"/>
        <rFont val="Times New Roman"/>
        <family val="1"/>
        <charset val="238"/>
      </rPr>
      <t>kódy (12 - 17)</t>
    </r>
  </si>
  <si>
    <t>L= G+H+I+J+K</t>
  </si>
  <si>
    <r>
      <t>Výkaz ziskov a strát -  Štruktúra nákladov</t>
    </r>
    <r>
      <rPr>
        <b/>
        <sz val="12"/>
        <color rgb="FFFF0000"/>
        <rFont val="Times New Roman"/>
        <family val="1"/>
        <charset val="238"/>
      </rPr>
      <t xml:space="preserve"> z hľadiska členenia účtov podľa výkazu Úč NUJ 2- 01</t>
    </r>
  </si>
  <si>
    <r>
      <t>Výkaz ziskov a strát -  Štruktúra v</t>
    </r>
    <r>
      <rPr>
        <b/>
        <sz val="12"/>
        <color rgb="FFFF0000"/>
        <rFont val="Times New Roman"/>
        <family val="1"/>
        <charset val="238"/>
      </rPr>
      <t>ýnosov z hľadiska členenia účtov podľa výkazu Úč NUJ 2- 01</t>
    </r>
  </si>
  <si>
    <t xml:space="preserve">Tabuľka č. 3a poskytuje ucelenú informáciu o výnosoch verejnej vysokej školy v členení na hlavnú a podnikateľskú činnosť v rokoch 2014 a 2015  z hľadiska členenia účtov podľa výkazu Úč NUJ 2- 01 - Výnosy </t>
  </si>
  <si>
    <t>Tabuľka č. 5a poskytuje ucelenú informáciu o nákladoch verejnej vysokej školy v členení na hlavnú a podnikateľskú činnosť v rokoch 2014 a 2015  z hľadiska členenia účtov podľa výkazu Úč NUJ 2- 01 - Náklady</t>
  </si>
  <si>
    <t>T5a_V</t>
  </si>
  <si>
    <t>Náklady sú kontrolované na údaje z výkazníctva - výkaz ziskov a strát, časť náklady.  (V IS SOFIA nájdete výkaz v časti  Účtovníctvo - Štvrťročné výkazy pre MiFi - Výkazy od r. 2010 - /VVS/FI_VYSLEDOVKA09 - Výsledovka VVS SR od roku 2010.)</t>
  </si>
  <si>
    <t>Výnosy sú kontrolované na údaje z výkazníctva - výkaz ziskov a strát, časť výnosy. (V IS SOFIA nájdete výkaz v časti  Účtovníctvo - Štvrťročné výkazy pre MiFi - Výkazy od r. 2010 - /VVS/FI_VYSLEDOVKA09 - Výsledovka VVS SR od roku 2010.)</t>
  </si>
  <si>
    <r>
      <t>Tabuľka č. 3a: Výnosy verejnej vysokej školy v rokoch 201</t>
    </r>
    <r>
      <rPr>
        <b/>
        <sz val="14"/>
        <color rgb="FFFF0000"/>
        <rFont val="Times New Roman"/>
        <family val="1"/>
        <charset val="238"/>
      </rPr>
      <t xml:space="preserve">4 </t>
    </r>
    <r>
      <rPr>
        <b/>
        <sz val="14"/>
        <rFont val="Times New Roman"/>
        <family val="1"/>
        <charset val="238"/>
      </rPr>
      <t>a 201</t>
    </r>
    <r>
      <rPr>
        <b/>
        <sz val="14"/>
        <color rgb="FFFF0000"/>
        <rFont val="Times New Roman"/>
        <family val="1"/>
        <charset val="238"/>
      </rPr>
      <t>5.</t>
    </r>
    <r>
      <rPr>
        <b/>
        <sz val="14"/>
        <rFont val="Times New Roman"/>
        <family val="1"/>
        <charset val="238"/>
      </rPr>
      <t xml:space="preserve"> Štruktúra výnosov z hľadiska členenia účtov podľa výkazu Úč NUJ 2- 01</t>
    </r>
  </si>
  <si>
    <r>
      <t>Tabuľka č. 5a: Náklady verejnej vysokej školy v rokoch 201</t>
    </r>
    <r>
      <rPr>
        <b/>
        <sz val="14"/>
        <color rgb="FFFF0000"/>
        <rFont val="Times New Roman"/>
        <family val="1"/>
        <charset val="238"/>
      </rPr>
      <t>4</t>
    </r>
    <r>
      <rPr>
        <b/>
        <sz val="14"/>
        <rFont val="Times New Roman"/>
        <family val="1"/>
        <charset val="238"/>
      </rPr>
      <t xml:space="preserve"> a 201</t>
    </r>
    <r>
      <rPr>
        <b/>
        <sz val="14"/>
        <color rgb="FFFF0000"/>
        <rFont val="Times New Roman"/>
        <family val="1"/>
        <charset val="238"/>
      </rPr>
      <t>5</t>
    </r>
    <r>
      <rPr>
        <b/>
        <sz val="14"/>
        <rFont val="Times New Roman"/>
        <family val="1"/>
        <charset val="238"/>
      </rPr>
      <t>. Štruktúra nákladov z hľadiska členenia účtov podľa výkazu Úč NUJ 2- 01</t>
    </r>
  </si>
  <si>
    <t>Tabuľka č. 3a:  Výnosy verejnej vysokej školy v rokoch 2014 a 2015. Štruktúra výnosov z hľadiska členenia účtov podľa výkazu Úč NUJ 2- 01</t>
  </si>
  <si>
    <t>Tabuľka č. 5a: Náklady verejnej vysokej školy v rokoch 2014 a 2015. Štruktúra nákladov z hľadiska členenia účtov podľa výkazu Úč NUJ 2- 01</t>
  </si>
  <si>
    <t>*) v roku 2015 požadujeme poplatky za vydanie dokladov podľa § 92 ods. 15 zákona rozčleniť do 3 analytík, tak ako je uvedené v R11, R12, R13</t>
  </si>
  <si>
    <t>zostatkové účty</t>
  </si>
  <si>
    <t>bežné účty -  napr. prijímacie pohovory, školné, na dary .......</t>
  </si>
  <si>
    <t>ÚZ ŠDaJ, MTF</t>
  </si>
  <si>
    <t>štrukturálne fondy</t>
  </si>
  <si>
    <t>SjF:7000085579; FEI:7000085026; FChPT:7000081498; FA:7000081930; MTF:7000081412; FIIT:7000085560; ŠDaJ:7000076234; Gabčíkovo:7000081631;RSTU:7000084090,7000084015,7000337254</t>
  </si>
  <si>
    <t>FR+účet prostriedkov z predaja  majetku - FA a R</t>
  </si>
  <si>
    <t>účty združených prostriedkov</t>
  </si>
  <si>
    <t xml:space="preserve"> Rektorát STU</t>
  </si>
  <si>
    <t>HČ+PČ- DzP=98 040 172,93</t>
  </si>
  <si>
    <t>HV za r.2015</t>
  </si>
  <si>
    <t>T13 R2 SD</t>
  </si>
  <si>
    <t xml:space="preserve"> je z dôvodu, že v zmysle pokynu MF SR č.25521/2013 pri použití bežnej dotácie na nákup investícií sa netvorí fond reprodukcie z odpisov takto nadobudnutého majetku. </t>
  </si>
  <si>
    <r>
      <t>Rozdiel medzi údajom v</t>
    </r>
    <r>
      <rPr>
        <sz val="9"/>
        <color indexed="10"/>
        <rFont val="Times New Roman"/>
        <family val="1"/>
        <charset val="238"/>
      </rPr>
      <t xml:space="preserve"> T5_R86 a údajmi T13_R4_SD</t>
    </r>
    <r>
      <rPr>
        <sz val="9"/>
        <rFont val="Times New Roman"/>
        <family val="1"/>
      </rPr>
      <t xml:space="preserve">  vo výške </t>
    </r>
    <r>
      <rPr>
        <sz val="9"/>
        <color indexed="10"/>
        <rFont val="Times New Roman"/>
        <family val="1"/>
        <charset val="238"/>
      </rPr>
      <t>4 039 464,15</t>
    </r>
    <r>
      <rPr>
        <sz val="9"/>
        <rFont val="Times New Roman"/>
        <family val="1"/>
      </rPr>
      <t xml:space="preserve"> Eur</t>
    </r>
  </si>
  <si>
    <t>rozdiel k T5 R90</t>
  </si>
  <si>
    <t>T5 R86 SC+SD = T13 R4 SD</t>
  </si>
  <si>
    <t>rozdiel k T5 R86</t>
  </si>
  <si>
    <t>rozdiel na T13 R5 SD = 103 818,15</t>
  </si>
  <si>
    <t xml:space="preserve">T5 R86 = </t>
  </si>
  <si>
    <t>T5 R86 = 6 785 772,86</t>
  </si>
  <si>
    <t>T13 R4 = 2 746 308,71</t>
  </si>
  <si>
    <r>
      <t xml:space="preserve">-  za B13 dosiahnutie vynikajúceho výsledku </t>
    </r>
    <r>
      <rPr>
        <sz val="12"/>
        <rFont val="Times New Roman"/>
        <family val="1"/>
        <charset val="238"/>
      </rPr>
      <t xml:space="preserve">[R6+R7] </t>
    </r>
  </si>
  <si>
    <t>Príjmy z ministerstva kultúry SR</t>
  </si>
  <si>
    <t>1c</t>
  </si>
  <si>
    <t>Voucher z Ministerstva hospodárstva</t>
  </si>
  <si>
    <t>Dary a granty</t>
  </si>
  <si>
    <t>EUROATOM UK Bratislava</t>
  </si>
  <si>
    <t>FUNMAT spoluriešiteľ FU  SAV Bratislava</t>
  </si>
  <si>
    <t>ERASMUS + spoluriešiteľ Univerzita Konštantína Filozofa Nitra</t>
  </si>
  <si>
    <t>STIMULY spoluriešiteľ Prvá zváračská spoločnosť</t>
  </si>
  <si>
    <t>Programy EÚS (št.rozpočet)</t>
  </si>
  <si>
    <t>Od ostatných subjektov VS</t>
  </si>
  <si>
    <t xml:space="preserve">príjmy vrámci spolupráce s inými zahr.univerzitami </t>
  </si>
  <si>
    <t>príjmy progr. EÚ územnej spolupráce-zahraničie</t>
  </si>
  <si>
    <t>príjmy na riešenie proj. výskumu, vývoja a inovácie-zahraničie</t>
  </si>
  <si>
    <t>Tempus</t>
  </si>
  <si>
    <t>Manunet</t>
  </si>
  <si>
    <t>7.RP (591008,591002)</t>
  </si>
  <si>
    <t>Fit2Age</t>
  </si>
  <si>
    <t>OEST Akademie Regiogoes</t>
  </si>
  <si>
    <t>INTERREG IV C</t>
  </si>
  <si>
    <t>Safer Cities</t>
  </si>
  <si>
    <t>Norske fondy</t>
  </si>
  <si>
    <t xml:space="preserve">UNIALL </t>
  </si>
  <si>
    <t>Program COST</t>
  </si>
  <si>
    <t>program BG-ERASMUS</t>
  </si>
  <si>
    <t>SOCRATES (príjmy od medzinárodnej organizácie)</t>
  </si>
  <si>
    <t>APVV- spoluriešiteľ</t>
  </si>
  <si>
    <t>tržby ŠDaJ za december 2015 odvedené na účet 221 prostreníctvom pošty v roku 2015 a pripísané na bankový účet v roku 2016</t>
  </si>
  <si>
    <t>Slovenská technická univerzita v Bratislave</t>
  </si>
  <si>
    <t xml:space="preserve">Slovenská technická univerzita v Bratislave 
  </t>
  </si>
  <si>
    <t>rozdiel 103 818,15 je oprava chybného účtovania z predchádzajúcich období na súčastiach STU</t>
  </si>
  <si>
    <r>
      <rPr>
        <sz val="9"/>
        <color rgb="FFFF0000"/>
        <rFont val="Times New Roman"/>
        <family val="1"/>
        <charset val="238"/>
      </rPr>
      <t>T6_R18_SH a údajom v T5_R56_(SC+SD)</t>
    </r>
    <r>
      <rPr>
        <sz val="9"/>
        <rFont val="Times New Roman"/>
        <family val="1"/>
        <charset val="238"/>
      </rPr>
      <t xml:space="preserve">  -  Rozdiel je spôsobený nesprávnym účtovaním nákladov patriacich na účet 521 na iné účty triedy 5*</t>
    </r>
  </si>
  <si>
    <t>1d</t>
  </si>
  <si>
    <t>1e</t>
  </si>
  <si>
    <t>1f</t>
  </si>
  <si>
    <t>1g</t>
  </si>
  <si>
    <t>1h</t>
  </si>
  <si>
    <t>1i</t>
  </si>
  <si>
    <t>3a</t>
  </si>
  <si>
    <t>3b</t>
  </si>
  <si>
    <t>4a</t>
  </si>
  <si>
    <t>4b</t>
  </si>
  <si>
    <t>4c</t>
  </si>
  <si>
    <t>4d</t>
  </si>
  <si>
    <t>4e</t>
  </si>
  <si>
    <t>4f</t>
  </si>
  <si>
    <t>4g</t>
  </si>
  <si>
    <t>4h</t>
  </si>
  <si>
    <t>4i</t>
  </si>
  <si>
    <t>4j</t>
  </si>
  <si>
    <t>4k</t>
  </si>
  <si>
    <t>4l</t>
  </si>
  <si>
    <t>4m</t>
  </si>
  <si>
    <t>4n</t>
  </si>
  <si>
    <t>ok Gon</t>
  </si>
  <si>
    <r>
      <t xml:space="preserve">Názov verejnej vysokej školy:     </t>
    </r>
    <r>
      <rPr>
        <b/>
        <sz val="12"/>
        <color rgb="FFFF0000"/>
        <rFont val="Times New Roman"/>
        <family val="1"/>
        <charset val="238"/>
      </rPr>
      <t xml:space="preserve"> STU</t>
    </r>
    <r>
      <rPr>
        <b/>
        <sz val="12"/>
        <color theme="1"/>
        <rFont val="Times New Roman"/>
        <family val="1"/>
        <charset val="238"/>
      </rPr>
      <t xml:space="preserve">
Názov fakulty:</t>
    </r>
  </si>
  <si>
    <t>rozdiel</t>
  </si>
  <si>
    <t>OK, Sev.</t>
  </si>
  <si>
    <t>OK</t>
  </si>
  <si>
    <t>kontroluje sa na T4 !</t>
  </si>
  <si>
    <t>údaje z T5</t>
  </si>
  <si>
    <t>aj tu by mal byť rozdiel !!!</t>
  </si>
  <si>
    <t>Gon.</t>
  </si>
  <si>
    <t>Názov verejnej vysokej školy:  Slovenská technická univerzita v Bratislave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</si>
</sst>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_S_k_-;\-* #,##0\ _S_k_-;_-* &quot;-&quot;\ _S_k_-;_-@_-"/>
    <numFmt numFmtId="165" formatCode="_-* #,##0.00\ _S_k_-;\-* #,##0.00\ _S_k_-;_-* &quot;-&quot;??\ _S_k_-;_-@_-"/>
    <numFmt numFmtId="166" formatCode="#,##0.00_ ;[Red]\-#,##0.00\ "/>
    <numFmt numFmtId="167" formatCode="_-* #,##0\ _S_k_-;\-* #,##0\ _S_k_-;_-* &quot;-&quot;??\ _S_k_-;_-@_-"/>
    <numFmt numFmtId="168" formatCode="#,##0_ ;\-#,##0\ "/>
    <numFmt numFmtId="169" formatCode="#,##0.0"/>
    <numFmt numFmtId="170" formatCode="_-* #,##0.0\ _S_k_-;\-* #,##0.0\ _S_k_-;_-* &quot;-&quot;??\ _S_k_-;_-@_-"/>
  </numFmts>
  <fonts count="1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family val="2"/>
      <charset val="238"/>
    </font>
    <font>
      <sz val="8"/>
      <name val="Arial CE"/>
      <family val="2"/>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b/>
      <u/>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b/>
      <vertAlign val="superscript"/>
      <sz val="12"/>
      <color indexed="8"/>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9"/>
      <name val="Arial"/>
      <family val="2"/>
      <charset val="238"/>
    </font>
    <font>
      <sz val="9"/>
      <name val="Times New Roman"/>
      <family val="1"/>
      <charset val="238"/>
    </font>
    <font>
      <sz val="12"/>
      <color indexed="10"/>
      <name val="Times New Roman"/>
      <family val="1"/>
      <charset val="238"/>
    </font>
    <font>
      <b/>
      <sz val="10"/>
      <name val="Times New Roman"/>
      <family val="1"/>
      <charset val="238"/>
    </font>
    <font>
      <b/>
      <u/>
      <sz val="13"/>
      <name val="Times New Roman"/>
      <family val="1"/>
      <charset val="238"/>
    </font>
    <font>
      <vertAlign val="superscript"/>
      <sz val="12"/>
      <color indexed="8"/>
      <name val="Times New Roman"/>
      <family val="1"/>
      <charset val="238"/>
    </font>
    <font>
      <sz val="12"/>
      <name val="Times New Roman"/>
      <family val="2"/>
      <charset val="238"/>
    </font>
    <font>
      <b/>
      <sz val="12"/>
      <color indexed="17"/>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8"/>
      <color indexed="81"/>
      <name val="Tahoma"/>
      <family val="2"/>
      <charset val="238"/>
    </font>
    <font>
      <b/>
      <sz val="8"/>
      <color indexed="81"/>
      <name val="Tahoma"/>
      <family val="2"/>
      <charset val="238"/>
    </font>
    <font>
      <sz val="12"/>
      <color indexed="8"/>
      <name val="Times New Roman"/>
      <family val="1"/>
    </font>
    <font>
      <b/>
      <vertAlign val="superscript"/>
      <sz val="12"/>
      <name val="Times New Roman"/>
      <family val="1"/>
    </font>
    <font>
      <sz val="12"/>
      <color indexed="12"/>
      <name val="Times New Roman"/>
      <family val="1"/>
      <charset val="238"/>
    </font>
    <font>
      <b/>
      <u/>
      <sz val="14"/>
      <name val="Times New Roman"/>
      <family val="1"/>
      <charset val="238"/>
    </font>
    <font>
      <b/>
      <sz val="11"/>
      <name val="Times New Roman"/>
      <family val="1"/>
    </font>
    <font>
      <sz val="10"/>
      <color indexed="81"/>
      <name val="Tahoma"/>
      <family val="2"/>
      <charset val="238"/>
    </font>
    <font>
      <u/>
      <sz val="10"/>
      <color indexed="81"/>
      <name val="Tahoma"/>
      <family val="2"/>
      <charset val="238"/>
    </font>
    <font>
      <b/>
      <sz val="10"/>
      <color indexed="81"/>
      <name val="Tahoma"/>
      <family val="2"/>
      <charset val="238"/>
    </font>
    <font>
      <b/>
      <sz val="10"/>
      <color indexed="8"/>
      <name val="Times New Roman"/>
      <family val="1"/>
      <charset val="238"/>
    </font>
    <font>
      <b/>
      <sz val="11"/>
      <color indexed="8"/>
      <name val="Times New Roman"/>
      <family val="1"/>
    </font>
    <font>
      <u/>
      <sz val="12"/>
      <color indexed="8"/>
      <name val="Times New Roman"/>
      <family val="1"/>
      <charset val="238"/>
    </font>
    <font>
      <b/>
      <sz val="12"/>
      <color indexed="8"/>
      <name val="Times New Roman"/>
      <family val="1"/>
    </font>
    <font>
      <b/>
      <sz val="14"/>
      <color indexed="10"/>
      <name val="Times New Roman"/>
      <family val="1"/>
      <charset val="238"/>
    </font>
    <font>
      <b/>
      <vertAlign val="superscript"/>
      <sz val="12"/>
      <color indexed="8"/>
      <name val="Times New Roman"/>
      <family val="1"/>
    </font>
    <font>
      <vertAlign val="superscript"/>
      <sz val="12"/>
      <color indexed="8"/>
      <name val="Times New Roman"/>
      <family val="1"/>
    </font>
    <font>
      <b/>
      <u/>
      <sz val="13"/>
      <color indexed="10"/>
      <name val="Times New Roman"/>
      <family val="1"/>
      <charset val="238"/>
    </font>
    <font>
      <strike/>
      <sz val="12"/>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i/>
      <sz val="12"/>
      <color rgb="FFFF0000"/>
      <name val="Times New Roman"/>
      <family val="1"/>
      <charset val="238"/>
    </font>
    <font>
      <b/>
      <sz val="12"/>
      <color rgb="FFFF0000"/>
      <name val="Times New Roman"/>
      <family val="1"/>
      <charset val="238"/>
    </font>
    <font>
      <b/>
      <sz val="12"/>
      <color rgb="FFFF0000"/>
      <name val="Times New Roman"/>
      <family val="1"/>
    </font>
    <font>
      <b/>
      <sz val="12"/>
      <color rgb="FFFF0000"/>
      <name val="Arial"/>
      <family val="2"/>
      <charset val="238"/>
    </font>
    <font>
      <u/>
      <sz val="10"/>
      <color rgb="FFFF0000"/>
      <name val="Arial"/>
      <family val="2"/>
      <charset val="238"/>
    </font>
    <font>
      <b/>
      <sz val="16"/>
      <color rgb="FFFF0000"/>
      <name val="Times New Roman"/>
      <family val="1"/>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b/>
      <sz val="14"/>
      <color rgb="FFFF0000"/>
      <name val="Times New Roman"/>
      <family val="1"/>
    </font>
    <font>
      <vertAlign val="superscript"/>
      <sz val="12"/>
      <color theme="1"/>
      <name val="Times New Roman"/>
      <family val="1"/>
    </font>
    <font>
      <u/>
      <sz val="12"/>
      <color theme="1"/>
      <name val="Times New Roman"/>
      <family val="1"/>
      <charset val="238"/>
    </font>
    <font>
      <i/>
      <sz val="12"/>
      <color rgb="FF0000FF"/>
      <name val="Times New Roman"/>
      <family val="1"/>
      <charset val="238"/>
    </font>
    <font>
      <vertAlign val="superscript"/>
      <sz val="11"/>
      <name val="Times New Roman"/>
      <family val="1"/>
      <charset val="238"/>
    </font>
    <font>
      <b/>
      <sz val="11"/>
      <color rgb="FFFF0000"/>
      <name val="Times New Roman"/>
      <family val="1"/>
    </font>
    <font>
      <sz val="12"/>
      <color rgb="FF0070C0"/>
      <name val="Times New Roman"/>
      <family val="1"/>
    </font>
    <font>
      <u/>
      <sz val="12"/>
      <color rgb="FF0000FF"/>
      <name val="Times New Roman"/>
      <family val="1"/>
      <charset val="238"/>
    </font>
    <font>
      <sz val="10"/>
      <color rgb="FF0000FF"/>
      <name val="Arial"/>
      <family val="2"/>
      <charset val="238"/>
    </font>
    <font>
      <sz val="9"/>
      <name val="Times New Roman"/>
      <family val="1"/>
    </font>
    <font>
      <sz val="8"/>
      <name val="Times New Roman"/>
      <family val="1"/>
    </font>
    <font>
      <sz val="8"/>
      <name val="Times New Roman"/>
      <family val="1"/>
      <charset val="238"/>
    </font>
    <font>
      <sz val="9"/>
      <color indexed="10"/>
      <name val="Times New Roman"/>
      <family val="1"/>
      <charset val="238"/>
    </font>
    <font>
      <sz val="11"/>
      <color rgb="FFFF0000"/>
      <name val="Times New Roman"/>
      <family val="1"/>
      <charset val="238"/>
    </font>
    <font>
      <sz val="9"/>
      <color theme="1"/>
      <name val="Times New Roman"/>
      <family val="1"/>
      <charset val="238"/>
    </font>
    <font>
      <sz val="9"/>
      <color rgb="FFFF0000"/>
      <name val="Times New Roman"/>
      <family val="1"/>
      <charset val="238"/>
    </font>
    <font>
      <sz val="9"/>
      <color rgb="FFFF0000"/>
      <name val="Times New Roman"/>
      <family val="1"/>
    </font>
    <font>
      <b/>
      <sz val="10"/>
      <color rgb="FFFF0000"/>
      <name val="Times New Roman"/>
      <family val="1"/>
      <charset val="238"/>
    </font>
    <font>
      <sz val="24"/>
      <color rgb="FFFF0000"/>
      <name val="Times New Roman"/>
      <family val="1"/>
    </font>
    <font>
      <sz val="16"/>
      <color rgb="FFFF0000"/>
      <name val="Times New Roman"/>
      <family val="1"/>
    </font>
    <font>
      <sz val="16"/>
      <color rgb="FFFF0000"/>
      <name val="Arial"/>
      <family val="2"/>
      <charset val="238"/>
    </font>
    <font>
      <sz val="12"/>
      <color rgb="FF0000FF"/>
      <name val="Times New Roman"/>
      <family val="1"/>
    </font>
    <font>
      <sz val="10"/>
      <name val="Arial"/>
      <charset val="23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rgb="FF000000"/>
      </patternFill>
    </fill>
    <fill>
      <patternFill patternType="solid">
        <fgColor theme="9"/>
        <bgColor indexed="64"/>
      </patternFill>
    </fill>
    <fill>
      <patternFill patternType="solid">
        <fgColor rgb="FFFFFF99"/>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100">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165" fontId="3" fillId="0" borderId="0" applyFont="0" applyFill="0" applyBorder="0" applyAlignment="0" applyProtection="0"/>
    <xf numFmtId="165" fontId="20"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alignment vertical="top"/>
      <protection locked="0"/>
    </xf>
    <xf numFmtId="0" fontId="52" fillId="21" borderId="5" applyNumberFormat="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20" fillId="0" borderId="0"/>
    <xf numFmtId="0" fontId="104" fillId="0" borderId="0"/>
    <xf numFmtId="0" fontId="20" fillId="0" borderId="0"/>
    <xf numFmtId="0" fontId="20" fillId="0" borderId="0"/>
    <xf numFmtId="0" fontId="66" fillId="0" borderId="0"/>
    <xf numFmtId="0" fontId="24" fillId="0" borderId="0"/>
    <xf numFmtId="0" fontId="56" fillId="0" borderId="0"/>
    <xf numFmtId="0" fontId="46" fillId="23" borderId="7" applyNumberFormat="0" applyFont="0" applyAlignment="0" applyProtection="0"/>
    <xf numFmtId="0" fontId="57" fillId="20" borderId="8" applyNumberFormat="0" applyAlignment="0" applyProtection="0"/>
    <xf numFmtId="4" fontId="15" fillId="22" borderId="9" applyNumberFormat="0" applyProtection="0">
      <alignment vertical="center"/>
    </xf>
    <xf numFmtId="4" fontId="16" fillId="24" borderId="9" applyNumberFormat="0" applyProtection="0">
      <alignment vertical="center"/>
    </xf>
    <xf numFmtId="4" fontId="15" fillId="24" borderId="9" applyNumberFormat="0" applyProtection="0">
      <alignment horizontal="left" vertical="center" indent="1"/>
    </xf>
    <xf numFmtId="0" fontId="15" fillId="24" borderId="9" applyNumberFormat="0" applyProtection="0">
      <alignment horizontal="left" vertical="top" indent="1"/>
    </xf>
    <xf numFmtId="4" fontId="17" fillId="3" borderId="9" applyNumberFormat="0" applyProtection="0">
      <alignment horizontal="right" vertical="center"/>
    </xf>
    <xf numFmtId="4" fontId="17" fillId="9" borderId="9" applyNumberFormat="0" applyProtection="0">
      <alignment horizontal="right" vertical="center"/>
    </xf>
    <xf numFmtId="4" fontId="17" fillId="17" borderId="9" applyNumberFormat="0" applyProtection="0">
      <alignment horizontal="right" vertical="center"/>
    </xf>
    <xf numFmtId="4" fontId="17" fillId="11" borderId="9" applyNumberFormat="0" applyProtection="0">
      <alignment horizontal="right" vertical="center"/>
    </xf>
    <xf numFmtId="4" fontId="17" fillId="15" borderId="9" applyNumberFormat="0" applyProtection="0">
      <alignment horizontal="right" vertical="center"/>
    </xf>
    <xf numFmtId="4" fontId="17" fillId="19" borderId="9" applyNumberFormat="0" applyProtection="0">
      <alignment horizontal="right" vertical="center"/>
    </xf>
    <xf numFmtId="4" fontId="17" fillId="18" borderId="9" applyNumberFormat="0" applyProtection="0">
      <alignment horizontal="right" vertical="center"/>
    </xf>
    <xf numFmtId="4" fontId="17" fillId="25" borderId="9" applyNumberFormat="0" applyProtection="0">
      <alignment horizontal="right" vertical="center"/>
    </xf>
    <xf numFmtId="4" fontId="17" fillId="10" borderId="9" applyNumberFormat="0" applyProtection="0">
      <alignment horizontal="right" vertical="center"/>
    </xf>
    <xf numFmtId="4" fontId="15" fillId="26" borderId="10" applyNumberFormat="0" applyProtection="0">
      <alignment horizontal="left" vertical="center" indent="1"/>
    </xf>
    <xf numFmtId="4" fontId="17" fillId="27" borderId="0" applyNumberFormat="0" applyProtection="0">
      <alignment horizontal="left" vertical="center" indent="1"/>
    </xf>
    <xf numFmtId="4" fontId="18" fillId="28" borderId="0" applyNumberFormat="0" applyProtection="0">
      <alignment horizontal="left" vertical="center" indent="1"/>
    </xf>
    <xf numFmtId="4" fontId="17" fillId="29" borderId="9" applyNumberFormat="0" applyProtection="0">
      <alignment horizontal="right" vertical="center"/>
    </xf>
    <xf numFmtId="4" fontId="19" fillId="27" borderId="0" applyNumberFormat="0" applyProtection="0">
      <alignment horizontal="left" vertical="center" indent="1"/>
    </xf>
    <xf numFmtId="4" fontId="19" fillId="30" borderId="0" applyNumberFormat="0" applyProtection="0">
      <alignment horizontal="left" vertical="center" indent="1"/>
    </xf>
    <xf numFmtId="0" fontId="20" fillId="28" borderId="9" applyNumberFormat="0" applyProtection="0">
      <alignment horizontal="left" vertical="center" indent="1"/>
    </xf>
    <xf numFmtId="0" fontId="20" fillId="28" borderId="9" applyNumberFormat="0" applyProtection="0">
      <alignment horizontal="left" vertical="top" indent="1"/>
    </xf>
    <xf numFmtId="0" fontId="20" fillId="30" borderId="9" applyNumberFormat="0" applyProtection="0">
      <alignment horizontal="left" vertical="center" indent="1"/>
    </xf>
    <xf numFmtId="0" fontId="20" fillId="30" borderId="9" applyNumberFormat="0" applyProtection="0">
      <alignment horizontal="left" vertical="top" indent="1"/>
    </xf>
    <xf numFmtId="0" fontId="20" fillId="31" borderId="9" applyNumberFormat="0" applyProtection="0">
      <alignment horizontal="left" vertical="center" indent="1"/>
    </xf>
    <xf numFmtId="0" fontId="20" fillId="31" borderId="9" applyNumberFormat="0" applyProtection="0">
      <alignment horizontal="left" vertical="top" indent="1"/>
    </xf>
    <xf numFmtId="0" fontId="20" fillId="32" borderId="9" applyNumberFormat="0" applyProtection="0">
      <alignment horizontal="left" vertical="center" indent="1"/>
    </xf>
    <xf numFmtId="0" fontId="20" fillId="32" borderId="9" applyNumberFormat="0" applyProtection="0">
      <alignment horizontal="left" vertical="top" indent="1"/>
    </xf>
    <xf numFmtId="4" fontId="15" fillId="30" borderId="0" applyNumberFormat="0" applyProtection="0">
      <alignment horizontal="left" vertical="center" indent="1"/>
    </xf>
    <xf numFmtId="4" fontId="17" fillId="33" borderId="9" applyNumberFormat="0" applyProtection="0">
      <alignment vertical="center"/>
    </xf>
    <xf numFmtId="4" fontId="21" fillId="33" borderId="9" applyNumberFormat="0" applyProtection="0">
      <alignment vertical="center"/>
    </xf>
    <xf numFmtId="4" fontId="17" fillId="33" borderId="9" applyNumberFormat="0" applyProtection="0">
      <alignment horizontal="left" vertical="center" indent="1"/>
    </xf>
    <xf numFmtId="0" fontId="17" fillId="33" borderId="9" applyNumberFormat="0" applyProtection="0">
      <alignment horizontal="left" vertical="top" indent="1"/>
    </xf>
    <xf numFmtId="4" fontId="17" fillId="27" borderId="9" applyNumberFormat="0" applyProtection="0">
      <alignment horizontal="right" vertical="center"/>
    </xf>
    <xf numFmtId="4" fontId="21" fillId="27" borderId="9" applyNumberFormat="0" applyProtection="0">
      <alignment horizontal="right" vertical="center"/>
    </xf>
    <xf numFmtId="4" fontId="17" fillId="29" borderId="9" applyNumberFormat="0" applyProtection="0">
      <alignment horizontal="left" vertical="center" indent="1"/>
    </xf>
    <xf numFmtId="0" fontId="17" fillId="30" borderId="9" applyNumberFormat="0" applyProtection="0">
      <alignment horizontal="left" vertical="top" indent="1"/>
    </xf>
    <xf numFmtId="4" fontId="22" fillId="34" borderId="0" applyNumberFormat="0" applyProtection="0">
      <alignment horizontal="left" vertical="center" indent="1"/>
    </xf>
    <xf numFmtId="4" fontId="23" fillId="27" borderId="9" applyNumberFormat="0" applyProtection="0">
      <alignment horizontal="right" vertical="center"/>
    </xf>
    <xf numFmtId="0" fontId="58" fillId="0" borderId="0" applyNumberForma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10" fillId="23" borderId="7" applyNumberFormat="0" applyFont="0" applyAlignment="0" applyProtection="0"/>
    <xf numFmtId="0" fontId="3" fillId="0" borderId="0"/>
    <xf numFmtId="0" fontId="2" fillId="0" borderId="0"/>
    <xf numFmtId="165" fontId="3" fillId="0" borderId="0" applyFont="0" applyFill="0" applyBorder="0" applyAlignment="0" applyProtection="0"/>
    <xf numFmtId="0" fontId="148" fillId="0" borderId="0"/>
    <xf numFmtId="0" fontId="1" fillId="0" borderId="0"/>
  </cellStyleXfs>
  <cellXfs count="1236">
    <xf numFmtId="0" fontId="0" fillId="0" borderId="0" xfId="0"/>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horizontal="center" vertical="center"/>
    </xf>
    <xf numFmtId="49" fontId="5" fillId="0" borderId="0" xfId="0" applyNumberFormat="1" applyFont="1"/>
    <xf numFmtId="0" fontId="6" fillId="0" borderId="0" xfId="0" applyFont="1" applyAlignment="1">
      <alignment horizontal="center" vertical="center" wrapText="1"/>
    </xf>
    <xf numFmtId="49" fontId="5" fillId="0" borderId="0" xfId="0" applyNumberFormat="1" applyFont="1" applyBorder="1"/>
    <xf numFmtId="49" fontId="5" fillId="0" borderId="0" xfId="0" applyNumberFormat="1" applyFont="1" applyAlignment="1">
      <alignment horizontal="left" vertical="center"/>
    </xf>
    <xf numFmtId="0" fontId="4" fillId="0" borderId="0" xfId="0" applyFont="1"/>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left" vertical="center" wrapText="1"/>
    </xf>
    <xf numFmtId="49" fontId="5" fillId="0" borderId="13" xfId="0" applyNumberFormat="1" applyFont="1" applyBorder="1" applyAlignment="1">
      <alignment horizontal="left" vertical="center" wrapText="1" indent="1"/>
    </xf>
    <xf numFmtId="49" fontId="4" fillId="0" borderId="13" xfId="0" applyNumberFormat="1" applyFont="1" applyBorder="1" applyAlignment="1">
      <alignmen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9" fillId="0" borderId="14" xfId="0" applyFont="1" applyBorder="1" applyAlignment="1">
      <alignment horizontal="center" vertical="center" wrapText="1"/>
    </xf>
    <xf numFmtId="0" fontId="10" fillId="0" borderId="0" xfId="0" applyFont="1" applyAlignment="1">
      <alignment horizontal="left" vertical="center" wrapText="1"/>
    </xf>
    <xf numFmtId="0" fontId="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0" xfId="0" applyFont="1" applyFill="1"/>
    <xf numFmtId="49" fontId="4" fillId="0" borderId="13" xfId="0" applyNumberFormat="1" applyFont="1" applyBorder="1" applyAlignment="1">
      <alignment horizontal="left" vertical="center" wrapText="1" indent="1"/>
    </xf>
    <xf numFmtId="49" fontId="5" fillId="0" borderId="13" xfId="0" applyNumberFormat="1" applyFont="1" applyFill="1" applyBorder="1" applyAlignment="1">
      <alignment horizontal="left" vertical="center" wrapText="1" indent="1"/>
    </xf>
    <xf numFmtId="49" fontId="4" fillId="0" borderId="17" xfId="0" applyNumberFormat="1" applyFont="1" applyBorder="1" applyAlignment="1">
      <alignment horizontal="left" vertical="center" wrapText="1" indent="1"/>
    </xf>
    <xf numFmtId="49" fontId="5" fillId="0" borderId="0" xfId="0" applyNumberFormat="1" applyFont="1" applyAlignment="1">
      <alignment horizontal="left" vertical="center" wrapText="1" indent="1"/>
    </xf>
    <xf numFmtId="3" fontId="4" fillId="24" borderId="13" xfId="0" applyNumberFormat="1" applyFont="1" applyFill="1" applyBorder="1" applyAlignment="1">
      <alignment horizontal="right" vertical="center" wrapText="1" indent="1"/>
    </xf>
    <xf numFmtId="3" fontId="4" fillId="24" borderId="14"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indent="1"/>
    </xf>
    <xf numFmtId="3" fontId="4" fillId="24" borderId="17" xfId="0" applyNumberFormat="1" applyFont="1" applyFill="1" applyBorder="1" applyAlignment="1" applyProtection="1">
      <alignment horizontal="right" vertical="center" wrapText="1" indent="1"/>
    </xf>
    <xf numFmtId="3" fontId="4" fillId="24" borderId="18" xfId="0" applyNumberFormat="1" applyFont="1" applyFill="1" applyBorder="1" applyAlignment="1">
      <alignment horizontal="right" vertical="center" wrapText="1" indent="1"/>
    </xf>
    <xf numFmtId="0" fontId="4" fillId="0" borderId="13" xfId="0" applyFont="1" applyBorder="1" applyAlignment="1">
      <alignment horizontal="left" vertical="top" wrapText="1" indent="1"/>
    </xf>
    <xf numFmtId="0" fontId="5" fillId="0" borderId="13" xfId="0" applyFont="1" applyBorder="1" applyAlignment="1">
      <alignment horizontal="left" vertical="top" wrapText="1" indent="1"/>
    </xf>
    <xf numFmtId="0" fontId="4" fillId="0" borderId="17" xfId="0" applyFont="1" applyBorder="1" applyAlignment="1">
      <alignment horizontal="left" wrapText="1" indent="1"/>
    </xf>
    <xf numFmtId="0" fontId="5" fillId="0" borderId="0" xfId="0" applyFont="1" applyAlignment="1">
      <alignment horizontal="left" indent="1"/>
    </xf>
    <xf numFmtId="49" fontId="4" fillId="0" borderId="13" xfId="0" applyNumberFormat="1" applyFont="1" applyBorder="1" applyAlignment="1">
      <alignment horizontal="left" vertical="top" wrapText="1" indent="1"/>
    </xf>
    <xf numFmtId="49" fontId="5" fillId="0" borderId="13" xfId="0" applyNumberFormat="1" applyFont="1" applyBorder="1" applyAlignment="1">
      <alignment horizontal="left" vertical="top" wrapText="1" indent="1"/>
    </xf>
    <xf numFmtId="3" fontId="9" fillId="24" borderId="13" xfId="0" applyNumberFormat="1" applyFont="1" applyFill="1" applyBorder="1" applyAlignment="1">
      <alignment horizontal="right" vertical="center" wrapText="1" indent="1"/>
    </xf>
    <xf numFmtId="3" fontId="9" fillId="24" borderId="17" xfId="0" applyNumberFormat="1" applyFont="1" applyFill="1" applyBorder="1" applyAlignment="1">
      <alignment horizontal="right" vertical="center" wrapText="1" indent="1"/>
    </xf>
    <xf numFmtId="49" fontId="9"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4" fillId="0" borderId="17" xfId="0" applyNumberFormat="1" applyFont="1" applyFill="1" applyBorder="1" applyAlignment="1">
      <alignment horizontal="left" vertical="center" wrapText="1" indent="1"/>
    </xf>
    <xf numFmtId="3" fontId="5" fillId="0" borderId="13" xfId="0" applyNumberFormat="1" applyFont="1" applyFill="1" applyBorder="1" applyAlignment="1">
      <alignment horizontal="right" vertical="center" wrapText="1" indent="1"/>
    </xf>
    <xf numFmtId="0" fontId="9" fillId="24" borderId="14" xfId="0" applyFont="1" applyFill="1" applyBorder="1" applyAlignment="1">
      <alignment horizontal="right" vertical="center" wrapText="1" indent="1"/>
    </xf>
    <xf numFmtId="0" fontId="9" fillId="0" borderId="13"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0" xfId="0" applyFont="1" applyAlignment="1">
      <alignment horizontal="left" vertical="center" wrapText="1" indent="1"/>
    </xf>
    <xf numFmtId="49" fontId="5" fillId="0" borderId="0" xfId="0" applyNumberFormat="1" applyFont="1" applyAlignment="1">
      <alignment vertical="center" wrapText="1"/>
    </xf>
    <xf numFmtId="3" fontId="9" fillId="0" borderId="0" xfId="45" applyNumberFormat="1" applyFont="1" applyBorder="1" applyAlignment="1">
      <alignment vertical="center" wrapText="1"/>
    </xf>
    <xf numFmtId="3" fontId="9" fillId="0" borderId="0" xfId="45" applyNumberFormat="1" applyFont="1" applyBorder="1" applyAlignment="1">
      <alignment horizontal="center" vertical="center" wrapText="1"/>
    </xf>
    <xf numFmtId="3" fontId="10" fillId="0" borderId="0" xfId="45" applyNumberFormat="1"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10" fillId="24" borderId="18" xfId="0" applyFont="1" applyFill="1" applyBorder="1" applyAlignment="1">
      <alignment horizontal="right" vertical="center" wrapText="1" indent="1"/>
    </xf>
    <xf numFmtId="3" fontId="9" fillId="0" borderId="14"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indent="1"/>
    </xf>
    <xf numFmtId="0" fontId="9" fillId="0" borderId="17" xfId="0" applyFont="1" applyBorder="1" applyAlignment="1">
      <alignment horizontal="left" vertical="center" wrapText="1" inden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49" fontId="4" fillId="0" borderId="13" xfId="0" applyNumberFormat="1" applyFont="1" applyBorder="1" applyAlignment="1">
      <alignment horizontal="lef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0" xfId="0" applyBorder="1"/>
    <xf numFmtId="0" fontId="9" fillId="0" borderId="13" xfId="0" applyFont="1" applyBorder="1" applyAlignment="1">
      <alignment horizontal="left" vertical="center" wrapText="1"/>
    </xf>
    <xf numFmtId="0" fontId="9" fillId="0" borderId="13" xfId="0" applyFont="1" applyFill="1" applyBorder="1" applyAlignment="1">
      <alignment horizontal="left" vertical="center" wrapText="1" indent="1"/>
    </xf>
    <xf numFmtId="0" fontId="10" fillId="0" borderId="0" xfId="0" applyFont="1"/>
    <xf numFmtId="49" fontId="9" fillId="0" borderId="17" xfId="0" applyNumberFormat="1" applyFont="1" applyFill="1" applyBorder="1" applyAlignment="1">
      <alignment horizontal="left" vertical="center" wrapText="1" indent="1"/>
    </xf>
    <xf numFmtId="49" fontId="9" fillId="0" borderId="13" xfId="0" applyNumberFormat="1" applyFont="1" applyBorder="1" applyAlignment="1">
      <alignment vertical="center" wrapText="1"/>
    </xf>
    <xf numFmtId="0" fontId="9"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3" xfId="45" applyFont="1" applyBorder="1" applyAlignment="1">
      <alignment horizontal="center" vertical="center" wrapText="1"/>
    </xf>
    <xf numFmtId="3" fontId="10" fillId="0" borderId="13" xfId="45" applyNumberFormat="1" applyFont="1" applyBorder="1" applyAlignment="1">
      <alignment horizontal="center" vertical="center" wrapText="1"/>
    </xf>
    <xf numFmtId="0" fontId="9" fillId="0" borderId="14" xfId="45" applyFont="1" applyBorder="1" applyAlignment="1">
      <alignment horizontal="center" vertical="center" wrapText="1"/>
    </xf>
    <xf numFmtId="3" fontId="10" fillId="0" borderId="15" xfId="45" applyNumberFormat="1" applyFont="1" applyBorder="1" applyAlignment="1">
      <alignment vertical="center" wrapText="1"/>
    </xf>
    <xf numFmtId="3" fontId="10" fillId="0" borderId="14" xfId="45" applyNumberFormat="1" applyFont="1" applyBorder="1" applyAlignment="1">
      <alignment horizontal="center" vertical="center" wrapText="1"/>
    </xf>
    <xf numFmtId="3" fontId="10" fillId="0" borderId="16" xfId="45"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3" xfId="0" applyFont="1" applyBorder="1" applyAlignment="1">
      <alignment horizontal="left" vertical="center" wrapText="1" indent="1"/>
    </xf>
    <xf numFmtId="0" fontId="10" fillId="0" borderId="13" xfId="0" applyFont="1" applyBorder="1" applyAlignment="1">
      <alignment horizontal="center" vertical="center" wrapText="1"/>
    </xf>
    <xf numFmtId="0" fontId="9" fillId="0" borderId="15" xfId="0" applyFont="1" applyBorder="1" applyAlignment="1">
      <alignment horizontal="left" vertical="center" wrapText="1" indent="1"/>
    </xf>
    <xf numFmtId="0" fontId="9" fillId="0" borderId="19" xfId="0" applyFont="1" applyBorder="1" applyAlignment="1">
      <alignment horizontal="left" vertical="center" wrapText="1" indent="1"/>
    </xf>
    <xf numFmtId="49" fontId="10" fillId="0" borderId="13" xfId="0" applyNumberFormat="1" applyFont="1" applyBorder="1" applyAlignment="1">
      <alignment horizontal="left" vertical="center" wrapText="1" indent="1"/>
    </xf>
    <xf numFmtId="0" fontId="10" fillId="0" borderId="0" xfId="0" applyFont="1" applyFill="1" applyAlignment="1">
      <alignment vertical="center" wrapText="1"/>
    </xf>
    <xf numFmtId="0" fontId="10" fillId="0" borderId="0" xfId="0" applyFont="1" applyFill="1" applyAlignment="1">
      <alignment horizontal="left" vertical="center" wrapText="1" indent="1"/>
    </xf>
    <xf numFmtId="0" fontId="10" fillId="0" borderId="0" xfId="0" applyFont="1" applyFill="1" applyAlignment="1">
      <alignment horizontal="left" vertical="center" wrapText="1" indent="3"/>
    </xf>
    <xf numFmtId="0" fontId="10" fillId="0" borderId="0" xfId="0" applyFont="1" applyFill="1" applyAlignment="1">
      <alignment horizontal="left" vertical="center" wrapText="1" indent="2"/>
    </xf>
    <xf numFmtId="0" fontId="34" fillId="0" borderId="0" xfId="0" applyFont="1" applyBorder="1"/>
    <xf numFmtId="49" fontId="5" fillId="0" borderId="19" xfId="0" applyNumberFormat="1" applyFont="1" applyBorder="1" applyAlignment="1">
      <alignment horizontal="left" vertical="center" wrapText="1" indent="1"/>
    </xf>
    <xf numFmtId="0" fontId="5" fillId="0" borderId="21" xfId="0" applyFont="1" applyBorder="1" applyAlignment="1">
      <alignment horizontal="center" vertical="center" wrapText="1"/>
    </xf>
    <xf numFmtId="0" fontId="9" fillId="0" borderId="17" xfId="0" applyFont="1" applyFill="1" applyBorder="1" applyAlignment="1">
      <alignment horizontal="left" vertical="center" wrapText="1" indent="1"/>
    </xf>
    <xf numFmtId="0" fontId="5" fillId="0" borderId="0" xfId="0" applyFont="1" applyFill="1" applyAlignment="1">
      <alignment vertical="center" wrapText="1"/>
    </xf>
    <xf numFmtId="0" fontId="0" fillId="0" borderId="0" xfId="0" applyFill="1"/>
    <xf numFmtId="0" fontId="31" fillId="0" borderId="0" xfId="0" applyFont="1" applyFill="1" applyAlignment="1">
      <alignment vertical="center" wrapText="1"/>
    </xf>
    <xf numFmtId="0" fontId="4" fillId="0" borderId="22" xfId="0" applyFont="1" applyBorder="1" applyAlignment="1">
      <alignment vertical="center" wrapText="1"/>
    </xf>
    <xf numFmtId="0" fontId="10" fillId="35" borderId="14" xfId="0" applyFont="1" applyFill="1" applyBorder="1" applyAlignment="1">
      <alignment horizontal="left" vertical="center" wrapText="1" indent="1"/>
    </xf>
    <xf numFmtId="0" fontId="37" fillId="0" borderId="0" xfId="0" applyFont="1"/>
    <xf numFmtId="0" fontId="9" fillId="0" borderId="23" xfId="0" applyFont="1" applyFill="1" applyBorder="1" applyAlignment="1">
      <alignment horizontal="center" vertical="center" wrapText="1"/>
    </xf>
    <xf numFmtId="0" fontId="9" fillId="0" borderId="0" xfId="0" applyFont="1" applyFill="1" applyAlignment="1">
      <alignment vertical="center" wrapText="1"/>
    </xf>
    <xf numFmtId="49" fontId="10" fillId="0" borderId="13" xfId="0" applyNumberFormat="1" applyFont="1" applyFill="1" applyBorder="1" applyAlignment="1">
      <alignment horizontal="left" vertical="center" wrapText="1" indent="1"/>
    </xf>
    <xf numFmtId="0" fontId="0" fillId="0" borderId="0" xfId="0" applyAlignment="1">
      <alignment wrapText="1"/>
    </xf>
    <xf numFmtId="0" fontId="0" fillId="0" borderId="0" xfId="0" applyAlignment="1">
      <alignment horizontal="center"/>
    </xf>
    <xf numFmtId="0" fontId="10" fillId="0" borderId="15" xfId="0" applyFont="1" applyFill="1" applyBorder="1" applyAlignment="1">
      <alignment horizontal="center" vertical="center" wrapText="1"/>
    </xf>
    <xf numFmtId="49" fontId="5" fillId="0" borderId="0" xfId="0" applyNumberFormat="1" applyFont="1" applyAlignment="1">
      <alignment horizontal="left" wrapText="1"/>
    </xf>
    <xf numFmtId="0" fontId="5" fillId="0" borderId="0" xfId="0" applyFont="1" applyAlignment="1">
      <alignment horizontal="justify"/>
    </xf>
    <xf numFmtId="0" fontId="5" fillId="0" borderId="16" xfId="0" applyFont="1" applyFill="1" applyBorder="1" applyAlignment="1">
      <alignment horizontal="center" vertical="center"/>
    </xf>
    <xf numFmtId="0" fontId="4" fillId="0" borderId="17" xfId="0" applyFont="1" applyFill="1" applyBorder="1" applyAlignment="1">
      <alignment horizontal="left" wrapText="1" indent="1"/>
    </xf>
    <xf numFmtId="49" fontId="5" fillId="0" borderId="0" xfId="0" applyNumberFormat="1" applyFont="1" applyAlignment="1">
      <alignment horizontal="left" wrapText="1" indent="1"/>
    </xf>
    <xf numFmtId="0" fontId="5"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4" fillId="0" borderId="15" xfId="0" applyFont="1" applyFill="1" applyBorder="1" applyAlignment="1">
      <alignment horizontal="center" vertical="center" wrapText="1"/>
    </xf>
    <xf numFmtId="0" fontId="10" fillId="35" borderId="26" xfId="0" applyFont="1" applyFill="1" applyBorder="1" applyAlignment="1">
      <alignment horizontal="left" vertical="center" wrapText="1" indent="1"/>
    </xf>
    <xf numFmtId="0" fontId="10" fillId="0" borderId="13" xfId="0" applyFont="1" applyBorder="1" applyAlignment="1">
      <alignment horizontal="left" vertical="top" wrapText="1" indent="1"/>
    </xf>
    <xf numFmtId="3" fontId="9" fillId="24" borderId="14" xfId="0" applyNumberFormat="1" applyFont="1" applyFill="1" applyBorder="1" applyAlignment="1">
      <alignment horizontal="right" vertical="center" wrapText="1" indent="1"/>
    </xf>
    <xf numFmtId="3" fontId="5" fillId="0" borderId="14" xfId="0" applyNumberFormat="1" applyFont="1" applyFill="1" applyBorder="1" applyAlignment="1">
      <alignment horizontal="right" vertical="center" wrapText="1" indent="1"/>
    </xf>
    <xf numFmtId="3" fontId="9" fillId="24" borderId="18" xfId="0" applyNumberFormat="1" applyFont="1" applyFill="1" applyBorder="1" applyAlignment="1">
      <alignment horizontal="right" vertical="center" wrapText="1" indent="1"/>
    </xf>
    <xf numFmtId="3" fontId="4" fillId="24" borderId="17" xfId="0" applyNumberFormat="1" applyFont="1" applyFill="1" applyBorder="1" applyAlignment="1">
      <alignment horizontal="right" vertical="center" wrapText="1" indent="1"/>
    </xf>
    <xf numFmtId="3" fontId="9" fillId="24" borderId="13" xfId="0" applyNumberFormat="1" applyFont="1" applyFill="1" applyBorder="1" applyAlignment="1">
      <alignment vertical="center" wrapText="1"/>
    </xf>
    <xf numFmtId="3" fontId="5" fillId="35" borderId="13" xfId="0" applyNumberFormat="1" applyFont="1" applyFill="1" applyBorder="1" applyAlignment="1">
      <alignment vertical="center" wrapText="1"/>
    </xf>
    <xf numFmtId="3" fontId="5" fillId="0" borderId="19" xfId="0" applyNumberFormat="1" applyFont="1" applyFill="1" applyBorder="1" applyAlignment="1">
      <alignment vertical="center" wrapText="1"/>
    </xf>
    <xf numFmtId="3" fontId="5" fillId="35" borderId="19" xfId="0" applyNumberFormat="1" applyFont="1" applyFill="1" applyBorder="1" applyAlignment="1">
      <alignment vertical="center" wrapText="1"/>
    </xf>
    <xf numFmtId="3" fontId="10" fillId="24" borderId="13" xfId="0" applyNumberFormat="1" applyFont="1" applyFill="1" applyBorder="1" applyAlignment="1">
      <alignment horizontal="right" vertical="center" wrapText="1" indent="1"/>
    </xf>
    <xf numFmtId="3" fontId="10" fillId="24" borderId="14" xfId="0" applyNumberFormat="1" applyFont="1" applyFill="1" applyBorder="1" applyAlignment="1">
      <alignment horizontal="right" vertical="center" wrapText="1" indent="1"/>
    </xf>
    <xf numFmtId="167" fontId="5" fillId="35" borderId="13" xfId="27" applyNumberFormat="1" applyFont="1" applyFill="1" applyBorder="1" applyAlignment="1">
      <alignment horizontal="right" vertical="center" wrapText="1" indent="1"/>
    </xf>
    <xf numFmtId="167" fontId="5" fillId="37" borderId="13" xfId="27" applyNumberFormat="1" applyFont="1" applyFill="1" applyBorder="1" applyAlignment="1">
      <alignment horizontal="right" vertical="center" wrapText="1" indent="1"/>
    </xf>
    <xf numFmtId="3" fontId="9" fillId="24" borderId="20" xfId="0" applyNumberFormat="1" applyFont="1" applyFill="1" applyBorder="1" applyAlignment="1">
      <alignment horizontal="right" vertical="center" wrapText="1" indent="1"/>
    </xf>
    <xf numFmtId="3" fontId="9" fillId="24" borderId="28" xfId="0" applyNumberFormat="1" applyFont="1" applyFill="1" applyBorder="1" applyAlignment="1">
      <alignment horizontal="right" vertical="center" wrapText="1" indent="1"/>
    </xf>
    <xf numFmtId="3" fontId="5" fillId="35" borderId="29"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indent="1"/>
    </xf>
    <xf numFmtId="3" fontId="9" fillId="24" borderId="14" xfId="0" applyNumberFormat="1" applyFont="1" applyFill="1" applyBorder="1" applyAlignment="1">
      <alignment horizontal="right" vertical="center" indent="1"/>
    </xf>
    <xf numFmtId="0" fontId="104" fillId="0" borderId="0" xfId="41"/>
    <xf numFmtId="0" fontId="105" fillId="0" borderId="13" xfId="41" applyFont="1" applyBorder="1" applyAlignment="1">
      <alignment horizontal="left" vertical="center" indent="1"/>
    </xf>
    <xf numFmtId="0" fontId="11" fillId="0" borderId="13" xfId="0" applyFont="1" applyFill="1" applyBorder="1" applyAlignment="1">
      <alignment horizontal="left" vertical="center" wrapText="1" indent="1"/>
    </xf>
    <xf numFmtId="0" fontId="10" fillId="32" borderId="15" xfId="0" applyFont="1" applyFill="1" applyBorder="1" applyAlignment="1">
      <alignment vertical="center" wrapText="1"/>
    </xf>
    <xf numFmtId="0" fontId="107" fillId="0" borderId="15" xfId="41" applyFont="1" applyBorder="1" applyAlignment="1">
      <alignment horizontal="center" vertical="center"/>
    </xf>
    <xf numFmtId="0" fontId="107" fillId="0" borderId="13" xfId="41" applyFont="1" applyBorder="1" applyAlignment="1">
      <alignment horizontal="left" vertical="center" wrapText="1" indent="1"/>
    </xf>
    <xf numFmtId="0" fontId="107" fillId="0" borderId="13" xfId="41" applyFont="1" applyBorder="1" applyAlignment="1">
      <alignment horizontal="left" vertical="center" indent="1"/>
    </xf>
    <xf numFmtId="0" fontId="107" fillId="0" borderId="17" xfId="41" applyFont="1" applyBorder="1" applyAlignment="1">
      <alignment horizontal="left" vertical="center" indent="1"/>
    </xf>
    <xf numFmtId="3" fontId="9" fillId="24" borderId="17" xfId="0" applyNumberFormat="1" applyFont="1" applyFill="1" applyBorder="1" applyAlignment="1">
      <alignment horizontal="right" vertical="center" indent="1"/>
    </xf>
    <xf numFmtId="3" fontId="9" fillId="24" borderId="18" xfId="0" applyNumberFormat="1" applyFont="1" applyFill="1" applyBorder="1" applyAlignment="1">
      <alignment horizontal="right" vertical="center" indent="1"/>
    </xf>
    <xf numFmtId="0" fontId="10" fillId="0" borderId="0" xfId="44" applyFont="1" applyAlignment="1">
      <alignment vertical="center" wrapText="1"/>
    </xf>
    <xf numFmtId="3" fontId="9" fillId="0" borderId="30" xfId="44" applyNumberFormat="1" applyFont="1" applyFill="1" applyBorder="1" applyAlignment="1">
      <alignment horizontal="center" vertical="center" wrapText="1"/>
    </xf>
    <xf numFmtId="0" fontId="9" fillId="37" borderId="31" xfId="44" applyFont="1" applyFill="1" applyBorder="1" applyAlignment="1">
      <alignment horizontal="center" vertical="center" wrapText="1"/>
    </xf>
    <xf numFmtId="0" fontId="9" fillId="0" borderId="0" xfId="44" applyFont="1" applyAlignment="1">
      <alignment horizontal="center" vertical="center" wrapText="1"/>
    </xf>
    <xf numFmtId="0" fontId="9" fillId="0" borderId="30" xfId="44" applyNumberFormat="1" applyFont="1" applyFill="1" applyBorder="1" applyAlignment="1">
      <alignment horizontal="center" vertical="center" wrapText="1"/>
    </xf>
    <xf numFmtId="0" fontId="0" fillId="0" borderId="0" xfId="0" applyNumberFormat="1" applyAlignment="1">
      <alignment vertical="center" wrapText="1"/>
    </xf>
    <xf numFmtId="166" fontId="65" fillId="37" borderId="13" xfId="76" quotePrefix="1" applyNumberFormat="1" applyFont="1" applyFill="1" applyBorder="1" applyAlignment="1" applyProtection="1">
      <alignment horizontal="left" vertical="center" wrapText="1" indent="1"/>
      <protection locked="0"/>
    </xf>
    <xf numFmtId="166" fontId="64" fillId="37" borderId="13" xfId="84" quotePrefix="1" applyNumberFormat="1" applyFont="1" applyFill="1" applyBorder="1" applyAlignment="1" applyProtection="1">
      <alignment horizontal="left" vertical="center" wrapText="1" indent="1"/>
      <protection locked="0"/>
    </xf>
    <xf numFmtId="166" fontId="64" fillId="37" borderId="13" xfId="83" quotePrefix="1" applyNumberFormat="1" applyFont="1" applyFill="1" applyBorder="1" applyProtection="1">
      <alignment horizontal="left" vertical="center" indent="1"/>
      <protection locked="0"/>
    </xf>
    <xf numFmtId="0" fontId="10" fillId="0" borderId="13" xfId="0" applyFont="1" applyBorder="1"/>
    <xf numFmtId="166" fontId="65" fillId="37" borderId="13" xfId="51" quotePrefix="1" applyNumberFormat="1" applyFont="1" applyFill="1" applyBorder="1">
      <alignment horizontal="left" vertical="center" indent="1"/>
    </xf>
    <xf numFmtId="166" fontId="65" fillId="37" borderId="13" xfId="51" applyNumberFormat="1" applyFont="1" applyFill="1" applyBorder="1">
      <alignment horizontal="left" vertical="center" indent="1"/>
    </xf>
    <xf numFmtId="166" fontId="64" fillId="37" borderId="13" xfId="83" applyNumberFormat="1" applyFont="1" applyFill="1" applyBorder="1" applyAlignment="1" applyProtection="1">
      <alignment vertical="center"/>
      <protection locked="0"/>
    </xf>
    <xf numFmtId="166" fontId="65" fillId="37" borderId="13" xfId="83" quotePrefix="1" applyNumberFormat="1" applyFont="1" applyFill="1" applyBorder="1" applyProtection="1">
      <alignment horizontal="left" vertical="center" indent="1"/>
      <protection locked="0"/>
    </xf>
    <xf numFmtId="166" fontId="64" fillId="37" borderId="13" xfId="84" applyNumberFormat="1" applyFont="1" applyFill="1" applyBorder="1" applyAlignment="1" applyProtection="1">
      <alignment horizontal="left" vertical="center" wrapText="1" indent="1"/>
      <protection locked="0"/>
    </xf>
    <xf numFmtId="0" fontId="20" fillId="0" borderId="0" xfId="42" applyProtection="1"/>
    <xf numFmtId="0" fontId="20" fillId="0" borderId="0" xfId="42" applyAlignment="1" applyProtection="1">
      <alignment wrapText="1"/>
    </xf>
    <xf numFmtId="0" fontId="20" fillId="0" borderId="0" xfId="42" applyAlignment="1" applyProtection="1">
      <alignment horizontal="center"/>
    </xf>
    <xf numFmtId="168" fontId="67" fillId="0" borderId="0" xfId="42" applyNumberFormat="1" applyFont="1" applyProtection="1"/>
    <xf numFmtId="0" fontId="20" fillId="0" borderId="0" xfId="42"/>
    <xf numFmtId="0" fontId="20" fillId="0" borderId="0" xfId="42" applyAlignment="1">
      <alignment wrapText="1"/>
    </xf>
    <xf numFmtId="0" fontId="20" fillId="0" borderId="0" xfId="42" applyAlignment="1">
      <alignment horizontal="center"/>
    </xf>
    <xf numFmtId="3" fontId="67" fillId="0" borderId="0" xfId="42" applyNumberFormat="1" applyFont="1"/>
    <xf numFmtId="3" fontId="20" fillId="0" borderId="0" xfId="42" applyNumberFormat="1" applyFont="1" applyAlignment="1">
      <alignment horizontal="right"/>
    </xf>
    <xf numFmtId="3" fontId="20" fillId="0" borderId="0" xfId="42" applyNumberFormat="1" applyFont="1"/>
    <xf numFmtId="49" fontId="9" fillId="35" borderId="13" xfId="42" applyNumberFormat="1" applyFont="1" applyFill="1" applyBorder="1" applyAlignment="1">
      <alignment horizontal="center"/>
    </xf>
    <xf numFmtId="164" fontId="9" fillId="32" borderId="13" xfId="28" applyNumberFormat="1" applyFont="1" applyFill="1" applyBorder="1"/>
    <xf numFmtId="49" fontId="10" fillId="0" borderId="13" xfId="42" applyNumberFormat="1" applyFont="1" applyBorder="1" applyAlignment="1">
      <alignment horizontal="center"/>
    </xf>
    <xf numFmtId="164" fontId="10" fillId="0" borderId="13" xfId="28" applyNumberFormat="1" applyFont="1" applyBorder="1" applyProtection="1">
      <protection locked="0"/>
    </xf>
    <xf numFmtId="164" fontId="9" fillId="0" borderId="13" xfId="28" applyNumberFormat="1" applyFont="1" applyBorder="1" applyProtection="1">
      <protection locked="0"/>
    </xf>
    <xf numFmtId="49" fontId="9" fillId="0" borderId="13" xfId="42" applyNumberFormat="1" applyFont="1" applyFill="1" applyBorder="1" applyAlignment="1">
      <alignment horizontal="center"/>
    </xf>
    <xf numFmtId="164" fontId="9" fillId="0" borderId="13" xfId="28" applyNumberFormat="1" applyFont="1" applyFill="1" applyBorder="1" applyProtection="1">
      <protection locked="0"/>
    </xf>
    <xf numFmtId="164" fontId="9" fillId="35" borderId="13" xfId="28" applyNumberFormat="1" applyFont="1" applyFill="1" applyBorder="1" applyProtection="1">
      <protection locked="0"/>
    </xf>
    <xf numFmtId="3" fontId="9" fillId="35" borderId="13" xfId="28" applyNumberFormat="1" applyFont="1" applyFill="1" applyBorder="1" applyAlignment="1">
      <alignment horizontal="right"/>
    </xf>
    <xf numFmtId="3" fontId="9" fillId="35" borderId="14" xfId="28" applyNumberFormat="1" applyFont="1" applyFill="1" applyBorder="1" applyAlignment="1">
      <alignment horizontal="right"/>
    </xf>
    <xf numFmtId="164" fontId="9" fillId="32" borderId="13" xfId="28" applyNumberFormat="1" applyFont="1" applyFill="1" applyBorder="1" applyProtection="1">
      <protection locked="0"/>
    </xf>
    <xf numFmtId="49" fontId="10" fillId="0" borderId="13" xfId="42" applyNumberFormat="1" applyFont="1" applyFill="1" applyBorder="1" applyAlignment="1">
      <alignment horizontal="center"/>
    </xf>
    <xf numFmtId="164" fontId="10" fillId="32" borderId="13" xfId="28" applyNumberFormat="1" applyFont="1" applyFill="1" applyBorder="1"/>
    <xf numFmtId="164" fontId="10" fillId="35" borderId="13" xfId="28" applyNumberFormat="1" applyFont="1" applyFill="1" applyBorder="1"/>
    <xf numFmtId="0" fontId="10" fillId="0" borderId="0" xfId="42" applyFont="1"/>
    <xf numFmtId="0" fontId="10" fillId="0" borderId="0" xfId="42" applyFont="1" applyAlignment="1">
      <alignment horizontal="center"/>
    </xf>
    <xf numFmtId="3" fontId="10" fillId="0" borderId="0" xfId="42" applyNumberFormat="1" applyFont="1" applyAlignment="1">
      <alignment horizontal="right"/>
    </xf>
    <xf numFmtId="3" fontId="10" fillId="0" borderId="0" xfId="42" applyNumberFormat="1" applyFont="1"/>
    <xf numFmtId="0" fontId="9" fillId="0" borderId="32" xfId="42" applyFont="1" applyBorder="1" applyAlignment="1" applyProtection="1">
      <alignment wrapText="1"/>
    </xf>
    <xf numFmtId="49" fontId="9" fillId="0" borderId="13" xfId="42" applyNumberFormat="1" applyFont="1" applyBorder="1" applyAlignment="1" applyProtection="1">
      <alignment horizontal="center"/>
    </xf>
    <xf numFmtId="0" fontId="10" fillId="0" borderId="27" xfId="42" applyFont="1" applyBorder="1" applyAlignment="1" applyProtection="1">
      <alignment wrapText="1"/>
    </xf>
    <xf numFmtId="49" fontId="10" fillId="0" borderId="13" xfId="42" applyNumberFormat="1" applyFont="1" applyBorder="1" applyAlignment="1" applyProtection="1">
      <alignment horizontal="center"/>
    </xf>
    <xf numFmtId="0" fontId="9" fillId="0" borderId="13" xfId="42" applyFont="1" applyBorder="1" applyAlignment="1" applyProtection="1">
      <alignment wrapText="1"/>
    </xf>
    <xf numFmtId="0" fontId="10" fillId="0" borderId="13" xfId="42" applyFont="1" applyBorder="1" applyAlignment="1" applyProtection="1">
      <alignment wrapText="1"/>
    </xf>
    <xf numFmtId="0" fontId="9" fillId="0" borderId="21" xfId="42" applyFont="1" applyBorder="1" applyAlignment="1" applyProtection="1">
      <alignment horizontal="center" wrapText="1"/>
    </xf>
    <xf numFmtId="0" fontId="9" fillId="0" borderId="33" xfId="42" applyFont="1" applyBorder="1" applyAlignment="1" applyProtection="1">
      <alignment vertical="top" wrapText="1"/>
    </xf>
    <xf numFmtId="0" fontId="9" fillId="0" borderId="22" xfId="42" applyFont="1" applyBorder="1" applyAlignment="1" applyProtection="1">
      <alignment vertical="top" wrapText="1"/>
    </xf>
    <xf numFmtId="3" fontId="9" fillId="0" borderId="34" xfId="42" applyNumberFormat="1" applyFont="1" applyBorder="1" applyAlignment="1">
      <alignment horizontal="center" vertical="center" wrapText="1"/>
    </xf>
    <xf numFmtId="3" fontId="10" fillId="35" borderId="29" xfId="44" applyNumberFormat="1" applyFont="1" applyFill="1" applyBorder="1" applyAlignment="1">
      <alignment horizontal="right" vertical="center" wrapText="1" indent="1"/>
    </xf>
    <xf numFmtId="3" fontId="10" fillId="35" borderId="13" xfId="44" applyNumberFormat="1" applyFont="1" applyFill="1" applyBorder="1" applyAlignment="1">
      <alignment horizontal="right" vertical="center" wrapText="1" indent="1"/>
    </xf>
    <xf numFmtId="49" fontId="10" fillId="0" borderId="20" xfId="42" applyNumberFormat="1" applyFont="1" applyBorder="1" applyAlignment="1">
      <alignment horizontal="center"/>
    </xf>
    <xf numFmtId="49" fontId="10" fillId="0" borderId="35" xfId="42" applyNumberFormat="1" applyFont="1" applyBorder="1" applyAlignment="1">
      <alignment horizontal="center"/>
    </xf>
    <xf numFmtId="3" fontId="4" fillId="24" borderId="31" xfId="0" applyNumberFormat="1" applyFont="1" applyFill="1" applyBorder="1" applyAlignment="1">
      <alignment horizontal="right" vertical="center" wrapText="1" indent="1"/>
    </xf>
    <xf numFmtId="3" fontId="4" fillId="24" borderId="36" xfId="0" applyNumberFormat="1" applyFont="1" applyFill="1" applyBorder="1" applyAlignment="1">
      <alignment horizontal="right" vertical="center" wrapText="1" indent="1"/>
    </xf>
    <xf numFmtId="49" fontId="10" fillId="0" borderId="37" xfId="42" applyNumberFormat="1" applyFont="1" applyBorder="1" applyAlignment="1">
      <alignment horizontal="center"/>
    </xf>
    <xf numFmtId="3" fontId="4" fillId="24" borderId="38" xfId="0" applyNumberFormat="1" applyFont="1" applyFill="1" applyBorder="1" applyAlignment="1">
      <alignment horizontal="right" vertical="center" wrapText="1" indent="1"/>
    </xf>
    <xf numFmtId="3" fontId="5" fillId="35" borderId="34" xfId="0" applyNumberFormat="1" applyFont="1" applyFill="1" applyBorder="1" applyAlignment="1">
      <alignment horizontal="right" vertical="center" wrapText="1" indent="1"/>
    </xf>
    <xf numFmtId="0" fontId="9" fillId="0" borderId="21" xfId="42" applyFont="1" applyBorder="1" applyAlignment="1">
      <alignment horizontal="center" vertical="center" wrapText="1"/>
    </xf>
    <xf numFmtId="0" fontId="9" fillId="0" borderId="13" xfId="42" applyFont="1" applyBorder="1" applyAlignment="1">
      <alignment vertical="center" wrapText="1"/>
    </xf>
    <xf numFmtId="0" fontId="9" fillId="0" borderId="22" xfId="42" applyFont="1" applyBorder="1" applyAlignment="1">
      <alignment horizontal="center" vertical="center" wrapText="1"/>
    </xf>
    <xf numFmtId="0" fontId="10" fillId="0" borderId="13" xfId="42" applyFont="1" applyBorder="1" applyAlignment="1">
      <alignment vertical="center" wrapText="1"/>
    </xf>
    <xf numFmtId="0" fontId="9" fillId="0" borderId="15" xfId="42" applyFont="1" applyBorder="1" applyAlignment="1">
      <alignment horizontal="center" vertical="center" wrapText="1"/>
    </xf>
    <xf numFmtId="0" fontId="10" fillId="0" borderId="29" xfId="42" applyFont="1" applyBorder="1" applyAlignment="1">
      <alignment vertical="center" wrapText="1"/>
    </xf>
    <xf numFmtId="0" fontId="9" fillId="0" borderId="15" xfId="42" applyFont="1" applyBorder="1" applyAlignment="1">
      <alignment vertical="center" wrapText="1"/>
    </xf>
    <xf numFmtId="0" fontId="10" fillId="0" borderId="19" xfId="42" applyFont="1" applyBorder="1" applyAlignment="1">
      <alignment vertical="center" wrapText="1"/>
    </xf>
    <xf numFmtId="0" fontId="9" fillId="0" borderId="21" xfId="42" applyFont="1" applyBorder="1" applyAlignment="1">
      <alignment vertical="center" wrapText="1"/>
    </xf>
    <xf numFmtId="0" fontId="9" fillId="0" borderId="15" xfId="42" applyFont="1" applyFill="1" applyBorder="1" applyAlignment="1">
      <alignment vertical="center" wrapText="1"/>
    </xf>
    <xf numFmtId="0" fontId="9" fillId="0" borderId="13" xfId="42" applyFont="1" applyFill="1" applyBorder="1" applyAlignment="1">
      <alignment vertical="center" wrapText="1"/>
    </xf>
    <xf numFmtId="0" fontId="9" fillId="0" borderId="13" xfId="42" applyFont="1" applyBorder="1" applyAlignment="1">
      <alignment horizontal="left" vertical="center" wrapText="1"/>
    </xf>
    <xf numFmtId="0" fontId="9" fillId="0" borderId="29" xfId="42" applyFont="1" applyBorder="1" applyAlignment="1">
      <alignment vertical="center" wrapText="1"/>
    </xf>
    <xf numFmtId="0" fontId="10" fillId="0" borderId="29" xfId="42" applyFont="1" applyBorder="1"/>
    <xf numFmtId="0" fontId="10" fillId="0" borderId="13" xfId="42" applyFont="1" applyBorder="1"/>
    <xf numFmtId="0" fontId="10" fillId="0" borderId="19" xfId="42" applyFont="1" applyBorder="1"/>
    <xf numFmtId="0" fontId="9" fillId="0" borderId="43" xfId="0" applyFont="1" applyFill="1" applyBorder="1" applyAlignment="1">
      <alignment horizontal="center" vertical="center" wrapText="1"/>
    </xf>
    <xf numFmtId="0" fontId="9" fillId="35" borderId="44" xfId="0" applyFont="1" applyFill="1" applyBorder="1" applyAlignment="1">
      <alignment horizontal="left" vertical="center" wrapText="1" indent="1"/>
    </xf>
    <xf numFmtId="0" fontId="10" fillId="0" borderId="44" xfId="0" applyFont="1" applyFill="1" applyBorder="1" applyAlignment="1">
      <alignment horizontal="left" vertical="center" wrapText="1" indent="1"/>
    </xf>
    <xf numFmtId="0" fontId="10" fillId="36" borderId="45" xfId="0" applyFont="1" applyFill="1" applyBorder="1" applyAlignment="1">
      <alignment horizontal="left" vertical="center" wrapText="1" indent="1"/>
    </xf>
    <xf numFmtId="0" fontId="10" fillId="0" borderId="46" xfId="0" applyFont="1" applyFill="1" applyBorder="1" applyAlignment="1">
      <alignment horizontal="left" vertical="center" wrapText="1" indent="1"/>
    </xf>
    <xf numFmtId="0" fontId="10" fillId="36" borderId="44" xfId="0" applyFont="1" applyFill="1" applyBorder="1" applyAlignment="1">
      <alignment horizontal="left" vertical="center" wrapText="1" indent="1"/>
    </xf>
    <xf numFmtId="0" fontId="10" fillId="37" borderId="44" xfId="0" applyFont="1" applyFill="1" applyBorder="1" applyAlignment="1">
      <alignment horizontal="left" vertical="center" wrapText="1" indent="1"/>
    </xf>
    <xf numFmtId="0" fontId="10" fillId="0" borderId="45" xfId="0" applyFont="1" applyFill="1" applyBorder="1" applyAlignment="1">
      <alignment horizontal="left" vertical="center" wrapText="1" indent="1"/>
    </xf>
    <xf numFmtId="3" fontId="10" fillId="35" borderId="19" xfId="44" applyNumberFormat="1" applyFont="1" applyFill="1" applyBorder="1" applyAlignment="1">
      <alignment horizontal="right" vertical="center" wrapText="1" indent="1"/>
    </xf>
    <xf numFmtId="3" fontId="4" fillId="24" borderId="34" xfId="0" applyNumberFormat="1" applyFont="1" applyFill="1" applyBorder="1" applyAlignment="1">
      <alignment horizontal="right" vertical="center" wrapText="1" indent="1"/>
    </xf>
    <xf numFmtId="0" fontId="9" fillId="0" borderId="47" xfId="44" applyNumberFormat="1" applyFont="1" applyFill="1" applyBorder="1" applyAlignment="1">
      <alignment horizontal="center" vertical="center" wrapText="1"/>
    </xf>
    <xf numFmtId="3" fontId="4" fillId="24" borderId="37" xfId="0" applyNumberFormat="1" applyFont="1" applyFill="1" applyBorder="1" applyAlignment="1">
      <alignment horizontal="right" vertical="center" wrapText="1" indent="1"/>
    </xf>
    <xf numFmtId="3" fontId="10" fillId="35" borderId="37" xfId="44" applyNumberFormat="1" applyFont="1" applyFill="1" applyBorder="1" applyAlignment="1">
      <alignment horizontal="right" vertical="center" wrapText="1" indent="1"/>
    </xf>
    <xf numFmtId="3" fontId="10" fillId="35" borderId="20" xfId="44" applyNumberFormat="1" applyFont="1" applyFill="1" applyBorder="1" applyAlignment="1">
      <alignment horizontal="right" vertical="center" wrapText="1" indent="1"/>
    </xf>
    <xf numFmtId="3" fontId="10" fillId="35" borderId="35" xfId="44" applyNumberFormat="1" applyFont="1" applyFill="1" applyBorder="1" applyAlignment="1">
      <alignment horizontal="right" vertical="center" wrapText="1" indent="1"/>
    </xf>
    <xf numFmtId="3" fontId="4" fillId="24" borderId="20" xfId="0" applyNumberFormat="1" applyFont="1" applyFill="1" applyBorder="1" applyAlignment="1">
      <alignment horizontal="right" vertical="center" wrapText="1" indent="1"/>
    </xf>
    <xf numFmtId="3" fontId="4" fillId="24" borderId="43" xfId="0" applyNumberFormat="1" applyFont="1" applyFill="1" applyBorder="1" applyAlignment="1">
      <alignment horizontal="right" vertical="center" wrapText="1" indent="1"/>
    </xf>
    <xf numFmtId="3" fontId="4" fillId="24" borderId="46" xfId="0" applyNumberFormat="1" applyFont="1" applyFill="1" applyBorder="1" applyAlignment="1">
      <alignment horizontal="right" vertical="center" wrapText="1" indent="1"/>
    </xf>
    <xf numFmtId="0" fontId="26" fillId="0" borderId="29" xfId="42" applyFont="1" applyBorder="1"/>
    <xf numFmtId="49" fontId="26" fillId="0" borderId="37" xfId="42" applyNumberFormat="1" applyFont="1" applyBorder="1" applyAlignment="1">
      <alignment horizontal="center"/>
    </xf>
    <xf numFmtId="0" fontId="26" fillId="0" borderId="13" xfId="42" applyFont="1" applyBorder="1"/>
    <xf numFmtId="49" fontId="26" fillId="0" borderId="20" xfId="42" applyNumberFormat="1" applyFont="1" applyBorder="1" applyAlignment="1">
      <alignment horizontal="center"/>
    </xf>
    <xf numFmtId="0" fontId="26" fillId="0" borderId="13" xfId="42" applyFont="1" applyBorder="1" applyAlignment="1">
      <alignment vertical="center"/>
    </xf>
    <xf numFmtId="49" fontId="61" fillId="32" borderId="20" xfId="42" applyNumberFormat="1" applyFont="1" applyFill="1" applyBorder="1" applyAlignment="1">
      <alignment horizontal="center"/>
    </xf>
    <xf numFmtId="49" fontId="61" fillId="0" borderId="20" xfId="42" applyNumberFormat="1" applyFont="1" applyBorder="1" applyAlignment="1">
      <alignment horizontal="center"/>
    </xf>
    <xf numFmtId="0" fontId="26" fillId="0" borderId="22" xfId="42" applyFont="1" applyBorder="1" applyAlignment="1">
      <alignment horizontal="left" indent="1"/>
    </xf>
    <xf numFmtId="0" fontId="26" fillId="0" borderId="15" xfId="42" applyFont="1" applyBorder="1" applyAlignment="1">
      <alignment horizontal="left" indent="1"/>
    </xf>
    <xf numFmtId="0" fontId="26" fillId="0" borderId="15" xfId="42" applyFont="1" applyFill="1" applyBorder="1" applyAlignment="1">
      <alignment horizontal="left" indent="1"/>
    </xf>
    <xf numFmtId="3" fontId="4" fillId="24" borderId="29" xfId="0" applyNumberFormat="1" applyFont="1" applyFill="1" applyBorder="1" applyAlignment="1">
      <alignment horizontal="right" vertical="center" wrapText="1" indent="1"/>
    </xf>
    <xf numFmtId="0" fontId="26" fillId="0" borderId="31" xfId="42" applyFont="1" applyBorder="1" applyAlignment="1">
      <alignment horizontal="center"/>
    </xf>
    <xf numFmtId="3" fontId="26" fillId="0" borderId="31" xfId="28" applyNumberFormat="1" applyFont="1" applyFill="1" applyBorder="1" applyAlignment="1">
      <alignment horizontal="center"/>
    </xf>
    <xf numFmtId="3" fontId="26" fillId="0" borderId="36" xfId="28" applyNumberFormat="1" applyFont="1" applyFill="1" applyBorder="1" applyAlignment="1">
      <alignment horizontal="center"/>
    </xf>
    <xf numFmtId="3" fontId="9" fillId="0" borderId="19" xfId="42" applyNumberFormat="1" applyFont="1" applyBorder="1" applyAlignment="1">
      <alignment horizontal="center" vertical="center"/>
    </xf>
    <xf numFmtId="3" fontId="9" fillId="0" borderId="26" xfId="42" applyNumberFormat="1" applyFont="1" applyBorder="1" applyAlignment="1">
      <alignment horizontal="center" vertical="center"/>
    </xf>
    <xf numFmtId="0" fontId="10" fillId="0" borderId="31" xfId="42" applyFont="1" applyBorder="1" applyAlignment="1">
      <alignment horizontal="center" vertical="center"/>
    </xf>
    <xf numFmtId="3" fontId="10" fillId="0" borderId="31" xfId="42" applyNumberFormat="1" applyFont="1" applyBorder="1" applyAlignment="1">
      <alignment horizontal="center" vertical="center"/>
    </xf>
    <xf numFmtId="3" fontId="10" fillId="0" borderId="36" xfId="42" applyNumberFormat="1" applyFont="1" applyBorder="1" applyAlignment="1">
      <alignment horizontal="center" vertical="center"/>
    </xf>
    <xf numFmtId="168" fontId="9" fillId="0" borderId="19" xfId="42" applyNumberFormat="1" applyFont="1" applyBorder="1" applyAlignment="1" applyProtection="1">
      <alignment horizontal="center" vertical="center"/>
    </xf>
    <xf numFmtId="168" fontId="9" fillId="0" borderId="26" xfId="42" applyNumberFormat="1" applyFont="1" applyBorder="1" applyAlignment="1" applyProtection="1">
      <alignment horizontal="center" vertical="center"/>
    </xf>
    <xf numFmtId="168" fontId="10" fillId="0" borderId="31" xfId="42" applyNumberFormat="1" applyFont="1" applyBorder="1" applyAlignment="1" applyProtection="1">
      <alignment horizontal="center"/>
    </xf>
    <xf numFmtId="168" fontId="10" fillId="0" borderId="36" xfId="42" applyNumberFormat="1" applyFont="1" applyBorder="1" applyAlignment="1" applyProtection="1">
      <alignment horizontal="center"/>
    </xf>
    <xf numFmtId="0" fontId="14" fillId="0" borderId="0" xfId="0" applyFont="1" applyBorder="1"/>
    <xf numFmtId="0" fontId="41" fillId="0" borderId="0" xfId="0" applyFont="1" applyBorder="1"/>
    <xf numFmtId="0" fontId="10" fillId="0" borderId="0" xfId="0" applyFont="1" applyBorder="1"/>
    <xf numFmtId="0" fontId="14" fillId="0" borderId="35" xfId="0" applyFont="1" applyBorder="1" applyAlignment="1">
      <alignment horizontal="center"/>
    </xf>
    <xf numFmtId="0" fontId="0" fillId="0" borderId="48" xfId="0" applyBorder="1"/>
    <xf numFmtId="0" fontId="0" fillId="0" borderId="49" xfId="0" applyBorder="1"/>
    <xf numFmtId="0" fontId="14" fillId="0" borderId="50" xfId="0" applyFont="1" applyBorder="1" applyAlignment="1">
      <alignment horizontal="center"/>
    </xf>
    <xf numFmtId="0" fontId="0" fillId="0" borderId="51" xfId="0" applyBorder="1"/>
    <xf numFmtId="0" fontId="40" fillId="0" borderId="50" xfId="35" applyFont="1" applyBorder="1" applyAlignment="1" applyProtection="1">
      <alignment horizontal="center"/>
    </xf>
    <xf numFmtId="0" fontId="10" fillId="0" borderId="52" xfId="0" applyFont="1" applyBorder="1"/>
    <xf numFmtId="0" fontId="0" fillId="0" borderId="52" xfId="0" applyBorder="1"/>
    <xf numFmtId="0" fontId="0" fillId="0" borderId="32" xfId="0" applyBorder="1"/>
    <xf numFmtId="0" fontId="20" fillId="0" borderId="0" xfId="42" applyAlignment="1"/>
    <xf numFmtId="0" fontId="31" fillId="0" borderId="0" xfId="0" applyFont="1" applyBorder="1" applyAlignment="1">
      <alignment horizontal="left"/>
    </xf>
    <xf numFmtId="0" fontId="31" fillId="0" borderId="0" xfId="0" applyFont="1" applyBorder="1" applyAlignment="1">
      <alignment horizontal="left" vertical="center"/>
    </xf>
    <xf numFmtId="0" fontId="106" fillId="0" borderId="0" xfId="0" applyFont="1" applyFill="1" applyAlignment="1">
      <alignment vertical="center" wrapText="1"/>
    </xf>
    <xf numFmtId="0" fontId="20" fillId="0" borderId="0" xfId="0" applyFont="1" applyAlignment="1"/>
    <xf numFmtId="0" fontId="108" fillId="0" borderId="15" xfId="0" applyFont="1" applyBorder="1" applyAlignment="1">
      <alignment horizontal="center" vertical="center"/>
    </xf>
    <xf numFmtId="0" fontId="108" fillId="0" borderId="0" xfId="0" applyFont="1"/>
    <xf numFmtId="0" fontId="107" fillId="0" borderId="44" xfId="0" applyFont="1" applyFill="1" applyBorder="1" applyAlignment="1">
      <alignment horizontal="left" vertical="center" wrapText="1" indent="1"/>
    </xf>
    <xf numFmtId="0" fontId="76" fillId="0" borderId="0" xfId="0" applyFont="1" applyFill="1" applyAlignment="1">
      <alignment horizontal="left" vertical="center" indent="1"/>
    </xf>
    <xf numFmtId="0" fontId="10" fillId="0" borderId="13" xfId="41" applyFont="1" applyBorder="1" applyAlignment="1">
      <alignment horizontal="left" vertical="center" wrapText="1" indent="1"/>
    </xf>
    <xf numFmtId="3" fontId="10" fillId="0" borderId="0" xfId="45" applyNumberFormat="1" applyFont="1" applyBorder="1" applyAlignment="1">
      <alignment horizontal="center" vertical="center" wrapText="1"/>
    </xf>
    <xf numFmtId="4" fontId="5" fillId="35" borderId="17" xfId="0" applyNumberFormat="1" applyFont="1" applyFill="1" applyBorder="1" applyAlignment="1">
      <alignment horizontal="right" vertical="center" wrapText="1" indent="1"/>
    </xf>
    <xf numFmtId="4" fontId="9" fillId="24" borderId="17" xfId="45" applyNumberFormat="1" applyFont="1" applyFill="1" applyBorder="1" applyAlignment="1">
      <alignment horizontal="right" vertical="center" wrapText="1" indent="1"/>
    </xf>
    <xf numFmtId="4" fontId="9" fillId="24" borderId="18" xfId="45" applyNumberFormat="1" applyFont="1" applyFill="1" applyBorder="1" applyAlignment="1">
      <alignment horizontal="right" vertical="center" wrapText="1" indent="1"/>
    </xf>
    <xf numFmtId="49" fontId="9" fillId="0" borderId="13" xfId="43" applyNumberFormat="1" applyFont="1" applyBorder="1" applyAlignment="1">
      <alignment horizontal="left" vertical="center" wrapText="1" indent="1"/>
    </xf>
    <xf numFmtId="3" fontId="9" fillId="24" borderId="13" xfId="43" applyNumberFormat="1" applyFont="1" applyFill="1" applyBorder="1" applyAlignment="1">
      <alignment horizontal="right" vertical="center" wrapText="1" indent="1"/>
    </xf>
    <xf numFmtId="3" fontId="5" fillId="35" borderId="13" xfId="43" applyNumberFormat="1" applyFont="1" applyFill="1" applyBorder="1" applyAlignment="1">
      <alignment horizontal="right" vertical="center" wrapText="1" indent="1"/>
    </xf>
    <xf numFmtId="0" fontId="5" fillId="0" borderId="13" xfId="43" applyFont="1" applyBorder="1" applyAlignment="1">
      <alignment horizontal="left" vertical="top" wrapText="1" indent="1"/>
    </xf>
    <xf numFmtId="3" fontId="5" fillId="35" borderId="19" xfId="43" applyNumberFormat="1" applyFont="1" applyFill="1" applyBorder="1" applyAlignment="1">
      <alignment horizontal="right" vertical="center" wrapText="1" indent="1"/>
    </xf>
    <xf numFmtId="0" fontId="5" fillId="0" borderId="19" xfId="43" applyFont="1" applyBorder="1" applyAlignment="1">
      <alignment horizontal="left" vertical="top" wrapText="1" indent="1"/>
    </xf>
    <xf numFmtId="0" fontId="11" fillId="0" borderId="0" xfId="0" applyFont="1" applyAlignment="1">
      <alignment horizontal="center" vertical="center"/>
    </xf>
    <xf numFmtId="0" fontId="11" fillId="0" borderId="0" xfId="0" applyFont="1" applyAlignment="1">
      <alignment horizontal="left" indent="1"/>
    </xf>
    <xf numFmtId="0" fontId="11" fillId="0" borderId="0" xfId="0" applyFont="1"/>
    <xf numFmtId="0" fontId="20" fillId="0" borderId="0" xfId="42" applyBorder="1" applyAlignment="1"/>
    <xf numFmtId="49" fontId="9" fillId="0" borderId="25" xfId="42" applyNumberFormat="1" applyFont="1" applyFill="1" applyBorder="1" applyAlignment="1">
      <alignment horizontal="center"/>
    </xf>
    <xf numFmtId="164" fontId="9" fillId="0" borderId="25" xfId="28" applyNumberFormat="1" applyFont="1" applyBorder="1"/>
    <xf numFmtId="3" fontId="4" fillId="24" borderId="25" xfId="0" applyNumberFormat="1" applyFont="1" applyFill="1" applyBorder="1" applyAlignment="1">
      <alignment horizontal="right" vertical="center" wrapText="1" indent="1"/>
    </xf>
    <xf numFmtId="3" fontId="4" fillId="24" borderId="24" xfId="0" applyNumberFormat="1" applyFont="1" applyFill="1" applyBorder="1" applyAlignment="1">
      <alignment horizontal="right" vertical="center" wrapText="1" indent="1"/>
    </xf>
    <xf numFmtId="0" fontId="5" fillId="0" borderId="15" xfId="0" applyFont="1" applyFill="1" applyBorder="1" applyAlignment="1">
      <alignment horizontal="center" vertical="center"/>
    </xf>
    <xf numFmtId="0" fontId="26" fillId="0" borderId="44" xfId="0" applyFont="1" applyFill="1" applyBorder="1" applyAlignment="1">
      <alignment horizontal="left" vertical="center" wrapText="1" indent="1"/>
    </xf>
    <xf numFmtId="0" fontId="109" fillId="0" borderId="0" xfId="0" applyFont="1" applyAlignment="1">
      <alignment vertical="center"/>
    </xf>
    <xf numFmtId="0" fontId="106"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10" fillId="0" borderId="54" xfId="0" applyFont="1" applyBorder="1"/>
    <xf numFmtId="0" fontId="0" fillId="0" borderId="54" xfId="0" applyBorder="1"/>
    <xf numFmtId="0" fontId="0" fillId="0" borderId="27" xfId="0" applyBorder="1"/>
    <xf numFmtId="0" fontId="71" fillId="0" borderId="48" xfId="0" applyFont="1" applyFill="1" applyBorder="1" applyAlignment="1">
      <alignment vertical="center"/>
    </xf>
    <xf numFmtId="0" fontId="41" fillId="0" borderId="48" xfId="0" applyFont="1" applyFill="1" applyBorder="1" applyAlignment="1">
      <alignment vertical="center"/>
    </xf>
    <xf numFmtId="0" fontId="20" fillId="0" borderId="48" xfId="0" applyFont="1" applyFill="1" applyBorder="1" applyAlignment="1">
      <alignment vertical="center"/>
    </xf>
    <xf numFmtId="0" fontId="20" fillId="0" borderId="0" xfId="0" applyFont="1" applyBorder="1"/>
    <xf numFmtId="0" fontId="20" fillId="0" borderId="54" xfId="0" applyFont="1" applyBorder="1"/>
    <xf numFmtId="0" fontId="20" fillId="0" borderId="52" xfId="0" applyFont="1" applyBorder="1"/>
    <xf numFmtId="0" fontId="9" fillId="37" borderId="44" xfId="0" applyFont="1" applyFill="1" applyBorder="1" applyAlignment="1">
      <alignment horizontal="left" vertical="center" wrapText="1" indent="1"/>
    </xf>
    <xf numFmtId="3" fontId="4" fillId="24" borderId="52" xfId="0" applyNumberFormat="1" applyFont="1" applyFill="1" applyBorder="1" applyAlignment="1">
      <alignment horizontal="right" vertical="center" wrapText="1" indent="1"/>
    </xf>
    <xf numFmtId="0" fontId="0" fillId="0" borderId="0" xfId="0" applyFill="1" applyAlignment="1">
      <alignment wrapText="1"/>
    </xf>
    <xf numFmtId="168" fontId="9" fillId="0" borderId="24" xfId="42" applyNumberFormat="1" applyFont="1" applyBorder="1" applyAlignment="1" applyProtection="1">
      <alignment horizontal="center" vertical="center" wrapText="1"/>
    </xf>
    <xf numFmtId="3" fontId="10" fillId="35" borderId="14" xfId="44" applyNumberFormat="1" applyFont="1" applyFill="1" applyBorder="1" applyAlignment="1">
      <alignment horizontal="right" vertical="center" wrapText="1" indent="1"/>
    </xf>
    <xf numFmtId="3" fontId="10" fillId="38" borderId="13" xfId="44" applyNumberFormat="1" applyFont="1" applyFill="1" applyBorder="1" applyAlignment="1">
      <alignment horizontal="right" vertical="center" wrapText="1" indent="1"/>
    </xf>
    <xf numFmtId="49" fontId="9" fillId="38" borderId="29" xfId="42" applyNumberFormat="1" applyFont="1" applyFill="1" applyBorder="1" applyAlignment="1" applyProtection="1">
      <alignment horizontal="center"/>
    </xf>
    <xf numFmtId="0" fontId="10" fillId="0" borderId="31" xfId="42" applyFont="1" applyBorder="1" applyAlignment="1" applyProtection="1">
      <alignment horizontal="center"/>
    </xf>
    <xf numFmtId="168" fontId="10" fillId="0" borderId="55" xfId="42" applyNumberFormat="1" applyFont="1" applyBorder="1" applyAlignment="1" applyProtection="1">
      <alignment horizontal="center"/>
    </xf>
    <xf numFmtId="0" fontId="107" fillId="37" borderId="44" xfId="0" applyFont="1" applyFill="1" applyBorder="1" applyAlignment="1">
      <alignment horizontal="left" vertical="center" wrapText="1" indent="1"/>
    </xf>
    <xf numFmtId="49" fontId="107" fillId="37" borderId="44" xfId="0" applyNumberFormat="1" applyFont="1" applyFill="1" applyBorder="1" applyAlignment="1">
      <alignment horizontal="left" vertical="center" wrapText="1" indent="1"/>
    </xf>
    <xf numFmtId="0" fontId="5" fillId="0" borderId="0" xfId="0" applyFont="1" applyFill="1" applyBorder="1"/>
    <xf numFmtId="0" fontId="4" fillId="0" borderId="0" xfId="0" applyFont="1" applyFill="1" applyBorder="1" applyAlignment="1">
      <alignment horizontal="center" vertical="center"/>
    </xf>
    <xf numFmtId="49" fontId="4" fillId="0" borderId="13"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16" xfId="0" applyFont="1" applyFill="1" applyBorder="1" applyAlignment="1">
      <alignment horizontal="center" vertical="center" wrapText="1"/>
    </xf>
    <xf numFmtId="49" fontId="5" fillId="0" borderId="0" xfId="0" applyNumberFormat="1" applyFont="1" applyFill="1" applyBorder="1" applyAlignment="1">
      <alignment horizontal="left" indent="1"/>
    </xf>
    <xf numFmtId="0" fontId="26" fillId="0" borderId="0" xfId="0" applyFont="1" applyFill="1" applyBorder="1" applyAlignment="1">
      <alignment vertical="center"/>
    </xf>
    <xf numFmtId="0" fontId="5" fillId="0" borderId="0" xfId="40" applyFont="1"/>
    <xf numFmtId="0" fontId="4" fillId="0" borderId="15" xfId="40" applyFont="1" applyBorder="1" applyAlignment="1">
      <alignment horizontal="center" vertical="center" wrapText="1"/>
    </xf>
    <xf numFmtId="0" fontId="4" fillId="0" borderId="13" xfId="40" applyFont="1" applyBorder="1" applyAlignment="1">
      <alignment horizontal="center" vertical="center" wrapText="1"/>
    </xf>
    <xf numFmtId="0" fontId="5" fillId="0" borderId="15" xfId="40" applyFont="1" applyBorder="1" applyAlignment="1">
      <alignment horizontal="center" vertical="center" wrapText="1"/>
    </xf>
    <xf numFmtId="49" fontId="5" fillId="0" borderId="0" xfId="40" applyNumberFormat="1" applyFont="1"/>
    <xf numFmtId="0" fontId="5" fillId="0" borderId="20" xfId="0" applyFont="1" applyFill="1" applyBorder="1" applyAlignment="1">
      <alignment horizontal="center" vertical="center" wrapText="1"/>
    </xf>
    <xf numFmtId="0" fontId="110" fillId="0" borderId="0" xfId="0" applyFont="1"/>
    <xf numFmtId="0" fontId="10" fillId="0" borderId="21" xfId="35" applyFont="1" applyBorder="1" applyAlignment="1" applyProtection="1">
      <alignment horizontal="left" vertical="center" indent="1"/>
    </xf>
    <xf numFmtId="0" fontId="105" fillId="35" borderId="44" xfId="0" applyFont="1" applyFill="1" applyBorder="1" applyAlignment="1">
      <alignment horizontal="left" vertical="center" wrapText="1" indent="1"/>
    </xf>
    <xf numFmtId="49" fontId="111" fillId="0" borderId="13" xfId="0" applyNumberFormat="1" applyFont="1" applyBorder="1" applyAlignment="1">
      <alignment horizontal="left" vertical="center" wrapText="1" indent="1"/>
    </xf>
    <xf numFmtId="49" fontId="112" fillId="0" borderId="13" xfId="0" applyNumberFormat="1" applyFont="1" applyBorder="1" applyAlignment="1">
      <alignment horizontal="left" vertical="center" wrapText="1" indent="1"/>
    </xf>
    <xf numFmtId="0" fontId="105" fillId="0" borderId="22" xfId="41" applyFont="1" applyBorder="1" applyAlignment="1">
      <alignment vertical="center"/>
    </xf>
    <xf numFmtId="0" fontId="105" fillId="0" borderId="29" xfId="41" applyFont="1" applyBorder="1" applyAlignment="1">
      <alignment vertical="center"/>
    </xf>
    <xf numFmtId="0" fontId="105" fillId="0" borderId="34" xfId="41" applyFont="1" applyBorder="1" applyAlignment="1">
      <alignment horizontal="center" vertical="center"/>
    </xf>
    <xf numFmtId="3" fontId="5" fillId="0" borderId="14" xfId="0" applyNumberFormat="1" applyFont="1" applyFill="1" applyBorder="1" applyAlignment="1">
      <alignment horizontal="center" vertical="center" wrapText="1"/>
    </xf>
    <xf numFmtId="0" fontId="5" fillId="0" borderId="15" xfId="43" applyFont="1" applyBorder="1" applyAlignment="1">
      <alignment horizontal="center" vertical="center" wrapText="1"/>
    </xf>
    <xf numFmtId="3" fontId="9" fillId="24" borderId="14" xfId="43" applyNumberFormat="1" applyFont="1" applyFill="1" applyBorder="1" applyAlignment="1">
      <alignment horizontal="right" vertical="center" wrapText="1" indent="1"/>
    </xf>
    <xf numFmtId="0" fontId="5" fillId="0" borderId="16" xfId="43" applyFont="1" applyBorder="1" applyAlignment="1">
      <alignment horizontal="center" vertical="center" wrapText="1"/>
    </xf>
    <xf numFmtId="3" fontId="4" fillId="24" borderId="17" xfId="43" applyNumberFormat="1" applyFont="1" applyFill="1" applyBorder="1" applyAlignment="1">
      <alignment horizontal="right" vertical="center" wrapText="1" indent="1"/>
    </xf>
    <xf numFmtId="3" fontId="9" fillId="24" borderId="17" xfId="43" applyNumberFormat="1" applyFont="1" applyFill="1" applyBorder="1" applyAlignment="1">
      <alignment horizontal="right" vertical="center" wrapText="1" indent="1"/>
    </xf>
    <xf numFmtId="3" fontId="9" fillId="24" borderId="18" xfId="43" applyNumberFormat="1" applyFont="1" applyFill="1" applyBorder="1" applyAlignment="1">
      <alignment horizontal="right" vertical="center" wrapText="1" indent="1"/>
    </xf>
    <xf numFmtId="0" fontId="107" fillId="0" borderId="16" xfId="41" applyFont="1" applyBorder="1" applyAlignment="1">
      <alignment horizontal="center" vertical="center"/>
    </xf>
    <xf numFmtId="0" fontId="5" fillId="0" borderId="15" xfId="0" applyFont="1" applyBorder="1" applyAlignment="1">
      <alignment horizontal="center" vertical="top"/>
    </xf>
    <xf numFmtId="0" fontId="9" fillId="0" borderId="16" xfId="42" applyFont="1" applyBorder="1" applyAlignment="1" applyProtection="1">
      <alignment vertical="top" wrapText="1"/>
    </xf>
    <xf numFmtId="49" fontId="10" fillId="0" borderId="17" xfId="42" applyNumberFormat="1" applyFont="1" applyBorder="1" applyAlignment="1" applyProtection="1">
      <alignment horizontal="center"/>
    </xf>
    <xf numFmtId="3" fontId="10" fillId="35" borderId="17" xfId="44" applyNumberFormat="1" applyFont="1" applyFill="1" applyBorder="1" applyAlignment="1">
      <alignment horizontal="right" vertical="center" wrapText="1" indent="1"/>
    </xf>
    <xf numFmtId="3" fontId="10" fillId="35" borderId="18" xfId="44" applyNumberFormat="1" applyFont="1" applyFill="1" applyBorder="1" applyAlignment="1">
      <alignment horizontal="right" vertical="center" wrapText="1" indent="1"/>
    </xf>
    <xf numFmtId="0" fontId="5" fillId="0" borderId="0" xfId="0" applyFont="1" applyAlignment="1">
      <alignment horizontal="left" vertical="center"/>
    </xf>
    <xf numFmtId="0" fontId="105" fillId="0" borderId="37" xfId="41" applyFont="1" applyBorder="1" applyAlignment="1">
      <alignment horizontal="center" vertical="center"/>
    </xf>
    <xf numFmtId="0" fontId="106" fillId="0" borderId="14" xfId="0" applyFont="1" applyBorder="1" applyAlignment="1">
      <alignment horizontal="left" vertical="center" wrapText="1" indent="1"/>
    </xf>
    <xf numFmtId="0" fontId="10" fillId="0" borderId="20" xfId="0" applyFont="1" applyBorder="1" applyAlignment="1">
      <alignment horizontal="left" vertical="center" wrapText="1" indent="1"/>
    </xf>
    <xf numFmtId="0" fontId="10" fillId="37" borderId="20" xfId="0" applyFont="1" applyFill="1" applyBorder="1" applyAlignment="1">
      <alignment horizontal="left" vertical="center" wrapText="1" indent="1"/>
    </xf>
    <xf numFmtId="0" fontId="10" fillId="0" borderId="35" xfId="0" applyFont="1" applyBorder="1" applyAlignment="1">
      <alignment horizontal="left" vertical="center" wrapText="1" indent="1"/>
    </xf>
    <xf numFmtId="0" fontId="107" fillId="0" borderId="20" xfId="0" applyFont="1" applyBorder="1" applyAlignment="1">
      <alignment horizontal="left" vertical="center" wrapText="1" indent="1"/>
    </xf>
    <xf numFmtId="0" fontId="107" fillId="0" borderId="28" xfId="0" applyFont="1" applyBorder="1" applyAlignment="1">
      <alignment horizontal="left" vertical="center" wrapText="1" indent="1"/>
    </xf>
    <xf numFmtId="0" fontId="87" fillId="0" borderId="14" xfId="35" applyFont="1" applyBorder="1" applyAlignment="1" applyProtection="1">
      <alignment horizontal="left" vertical="center" indent="1"/>
    </xf>
    <xf numFmtId="49" fontId="61" fillId="32" borderId="55" xfId="42" applyNumberFormat="1" applyFont="1" applyFill="1" applyBorder="1" applyAlignment="1">
      <alignment horizontal="center" vertical="center"/>
    </xf>
    <xf numFmtId="0" fontId="10" fillId="0" borderId="15" xfId="42" applyFont="1" applyBorder="1" applyAlignment="1">
      <alignment horizontal="left" indent="1"/>
    </xf>
    <xf numFmtId="0" fontId="10" fillId="0" borderId="22" xfId="42" applyFont="1" applyBorder="1" applyAlignment="1">
      <alignment horizontal="left" indent="1"/>
    </xf>
    <xf numFmtId="0" fontId="10" fillId="0" borderId="15" xfId="42" applyFont="1" applyFill="1" applyBorder="1" applyAlignment="1">
      <alignment horizontal="left" indent="1"/>
    </xf>
    <xf numFmtId="0" fontId="10" fillId="0" borderId="21" xfId="42" applyFont="1" applyFill="1" applyBorder="1" applyAlignment="1">
      <alignment horizontal="left" indent="1"/>
    </xf>
    <xf numFmtId="49" fontId="9" fillId="35" borderId="29" xfId="42" applyNumberFormat="1" applyFont="1" applyFill="1" applyBorder="1" applyAlignment="1">
      <alignment horizontal="center" vertical="center"/>
    </xf>
    <xf numFmtId="49" fontId="9" fillId="0" borderId="13" xfId="42" applyNumberFormat="1" applyFont="1" applyBorder="1" applyAlignment="1">
      <alignment horizontal="center" vertical="center"/>
    </xf>
    <xf numFmtId="49" fontId="10" fillId="0" borderId="20" xfId="42" applyNumberFormat="1" applyFont="1" applyBorder="1" applyAlignment="1">
      <alignment horizontal="center" vertical="center"/>
    </xf>
    <xf numFmtId="49" fontId="9" fillId="0" borderId="20" xfId="42" applyNumberFormat="1" applyFont="1" applyBorder="1" applyAlignment="1">
      <alignment horizontal="center" vertical="center"/>
    </xf>
    <xf numFmtId="49" fontId="10" fillId="0" borderId="35" xfId="42" applyNumberFormat="1" applyFont="1" applyBorder="1" applyAlignment="1">
      <alignment horizontal="center" vertical="center"/>
    </xf>
    <xf numFmtId="49" fontId="9" fillId="35" borderId="55" xfId="42" applyNumberFormat="1" applyFont="1" applyFill="1" applyBorder="1" applyAlignment="1">
      <alignment horizontal="center" vertical="center"/>
    </xf>
    <xf numFmtId="49" fontId="10" fillId="0" borderId="37" xfId="42" applyNumberFormat="1" applyFont="1" applyBorder="1" applyAlignment="1">
      <alignment horizontal="center" vertical="center"/>
    </xf>
    <xf numFmtId="49" fontId="10" fillId="24" borderId="55" xfId="42" applyNumberFormat="1" applyFont="1" applyFill="1" applyBorder="1" applyAlignment="1">
      <alignment horizontal="center" vertical="center"/>
    </xf>
    <xf numFmtId="0" fontId="106" fillId="0" borderId="14" xfId="35" applyFont="1" applyBorder="1" applyAlignment="1" applyProtection="1">
      <alignment horizontal="left" vertical="center" indent="1"/>
    </xf>
    <xf numFmtId="0" fontId="105" fillId="0" borderId="13" xfId="45" applyFont="1" applyBorder="1" applyAlignment="1">
      <alignment horizontal="center" vertical="center" wrapText="1"/>
    </xf>
    <xf numFmtId="0" fontId="107" fillId="0" borderId="19" xfId="42" applyFont="1" applyBorder="1"/>
    <xf numFmtId="0" fontId="107" fillId="0" borderId="29" xfId="42" applyFont="1" applyBorder="1" applyAlignment="1">
      <alignment vertical="center" wrapText="1"/>
    </xf>
    <xf numFmtId="0" fontId="107" fillId="0" borderId="13" xfId="0" applyFont="1" applyFill="1" applyBorder="1" applyAlignment="1">
      <alignment horizontal="center" vertical="center" wrapText="1"/>
    </xf>
    <xf numFmtId="0" fontId="107" fillId="0" borderId="14" xfId="0" applyFont="1" applyFill="1" applyBorder="1" applyAlignment="1">
      <alignment horizontal="center" vertical="center" wrapText="1"/>
    </xf>
    <xf numFmtId="49" fontId="111" fillId="0" borderId="17" xfId="43" applyNumberFormat="1" applyFont="1" applyBorder="1" applyAlignment="1">
      <alignment horizontal="left" vertical="center" wrapText="1" indent="1"/>
    </xf>
    <xf numFmtId="0" fontId="5" fillId="0" borderId="0" xfId="40" applyFont="1" applyAlignment="1">
      <alignment vertical="center" wrapText="1"/>
    </xf>
    <xf numFmtId="0" fontId="5" fillId="0" borderId="57" xfId="40" applyFont="1" applyBorder="1" applyAlignment="1">
      <alignment horizontal="center" vertical="center" wrapText="1"/>
    </xf>
    <xf numFmtId="0" fontId="5" fillId="0" borderId="0" xfId="40" applyFont="1" applyBorder="1" applyAlignment="1">
      <alignment horizontal="center" vertical="center" wrapText="1"/>
    </xf>
    <xf numFmtId="0" fontId="9" fillId="0" borderId="0" xfId="40" applyFont="1" applyBorder="1" applyAlignment="1">
      <alignment horizontal="left" vertical="center" wrapText="1" indent="1"/>
    </xf>
    <xf numFmtId="49" fontId="36" fillId="0" borderId="0" xfId="40" applyNumberFormat="1" applyFont="1"/>
    <xf numFmtId="0" fontId="107" fillId="36" borderId="44" xfId="0" applyFont="1" applyFill="1" applyBorder="1" applyAlignment="1">
      <alignment horizontal="left" vertical="center" wrapText="1" indent="1"/>
    </xf>
    <xf numFmtId="49" fontId="10" fillId="0" borderId="13" xfId="43" applyNumberFormat="1" applyFont="1" applyBorder="1" applyAlignment="1">
      <alignment horizontal="left" vertical="center" wrapText="1" indent="1"/>
    </xf>
    <xf numFmtId="3" fontId="5" fillId="35" borderId="13" xfId="43" applyNumberFormat="1" applyFont="1" applyFill="1" applyBorder="1" applyAlignment="1">
      <alignment horizontal="center" vertical="center" wrapText="1"/>
    </xf>
    <xf numFmtId="3" fontId="9" fillId="24" borderId="13" xfId="43" applyNumberFormat="1" applyFont="1" applyFill="1" applyBorder="1" applyAlignment="1">
      <alignment horizontal="center" vertical="center" wrapText="1"/>
    </xf>
    <xf numFmtId="3" fontId="9" fillId="24" borderId="14" xfId="43" applyNumberFormat="1" applyFont="1" applyFill="1" applyBorder="1" applyAlignment="1">
      <alignment horizontal="center" vertical="center" wrapText="1"/>
    </xf>
    <xf numFmtId="49" fontId="112" fillId="0" borderId="13" xfId="0" applyNumberFormat="1" applyFont="1" applyFill="1" applyBorder="1" applyAlignment="1">
      <alignment horizontal="left" vertical="top" wrapText="1" indent="1"/>
    </xf>
    <xf numFmtId="0" fontId="11" fillId="0" borderId="15" xfId="0" applyFont="1" applyBorder="1" applyAlignment="1">
      <alignment horizontal="center" vertical="center"/>
    </xf>
    <xf numFmtId="49" fontId="116" fillId="0" borderId="13" xfId="0" applyNumberFormat="1" applyFont="1" applyFill="1" applyBorder="1" applyAlignment="1">
      <alignment horizontal="left" vertical="top" wrapText="1" indent="1"/>
    </xf>
    <xf numFmtId="49" fontId="111" fillId="0" borderId="13" xfId="0" applyNumberFormat="1" applyFont="1" applyFill="1" applyBorder="1" applyAlignment="1">
      <alignment horizontal="left" vertical="top" wrapText="1" indent="1"/>
    </xf>
    <xf numFmtId="49" fontId="112" fillId="0" borderId="13" xfId="0" applyNumberFormat="1" applyFont="1" applyFill="1" applyBorder="1" applyAlignment="1">
      <alignment horizontal="left" wrapText="1" indent="1"/>
    </xf>
    <xf numFmtId="49" fontId="111" fillId="0" borderId="13" xfId="0" applyNumberFormat="1" applyFont="1" applyFill="1" applyBorder="1" applyAlignment="1">
      <alignment horizontal="left" vertical="top" wrapText="1"/>
    </xf>
    <xf numFmtId="49" fontId="112" fillId="0" borderId="13" xfId="0" applyNumberFormat="1" applyFont="1" applyFill="1" applyBorder="1" applyAlignment="1">
      <alignment horizontal="left" vertical="center" wrapText="1" indent="1"/>
    </xf>
    <xf numFmtId="49" fontId="112" fillId="0" borderId="13" xfId="0" applyNumberFormat="1" applyFont="1" applyFill="1" applyBorder="1" applyAlignment="1">
      <alignment horizontal="left" vertical="center" wrapText="1"/>
    </xf>
    <xf numFmtId="49" fontId="112" fillId="36" borderId="13" xfId="0" applyNumberFormat="1" applyFont="1" applyFill="1" applyBorder="1" applyAlignment="1">
      <alignment horizontal="left" vertical="top" wrapText="1" indent="1"/>
    </xf>
    <xf numFmtId="49" fontId="107" fillId="0" borderId="13" xfId="0" applyNumberFormat="1" applyFont="1" applyFill="1" applyBorder="1" applyAlignment="1">
      <alignment horizontal="left" vertical="center" wrapText="1" indent="1"/>
    </xf>
    <xf numFmtId="0" fontId="107" fillId="0" borderId="13" xfId="42" applyFont="1" applyBorder="1" applyAlignment="1" applyProtection="1">
      <alignment wrapText="1"/>
    </xf>
    <xf numFmtId="0" fontId="105" fillId="0" borderId="13" xfId="42" applyFont="1" applyBorder="1" applyAlignment="1" applyProtection="1">
      <alignment wrapText="1"/>
    </xf>
    <xf numFmtId="0" fontId="107" fillId="0" borderId="13" xfId="42" applyFont="1" applyBorder="1" applyAlignment="1" applyProtection="1">
      <alignment vertical="center" wrapText="1"/>
    </xf>
    <xf numFmtId="0" fontId="107" fillId="0" borderId="17" xfId="42" applyFont="1" applyBorder="1" applyAlignment="1" applyProtection="1">
      <alignment wrapText="1"/>
    </xf>
    <xf numFmtId="0" fontId="105" fillId="0" borderId="13" xfId="42" applyFont="1" applyBorder="1" applyAlignment="1">
      <alignment vertical="center" wrapText="1"/>
    </xf>
    <xf numFmtId="0" fontId="107" fillId="0" borderId="13" xfId="42" applyFont="1" applyBorder="1" applyAlignment="1">
      <alignment vertical="center" wrapText="1"/>
    </xf>
    <xf numFmtId="0" fontId="5" fillId="0" borderId="22" xfId="40" applyFont="1" applyBorder="1" applyAlignment="1">
      <alignment horizontal="center" vertical="center" wrapText="1"/>
    </xf>
    <xf numFmtId="49" fontId="4" fillId="0" borderId="20" xfId="40" applyNumberFormat="1" applyFont="1" applyBorder="1" applyAlignment="1">
      <alignment horizontal="center" vertical="center" wrapText="1"/>
    </xf>
    <xf numFmtId="0" fontId="9" fillId="0" borderId="37" xfId="40" applyFont="1" applyBorder="1" applyAlignment="1">
      <alignment horizontal="left" vertical="center" wrapText="1" indent="1"/>
    </xf>
    <xf numFmtId="0" fontId="9" fillId="0" borderId="20" xfId="40" applyFont="1" applyBorder="1" applyAlignment="1">
      <alignment horizontal="left" vertical="center" wrapText="1" indent="1"/>
    </xf>
    <xf numFmtId="0" fontId="9" fillId="0" borderId="59" xfId="40" applyFont="1" applyBorder="1" applyAlignment="1">
      <alignment horizontal="left" vertical="center" wrapText="1" indent="1"/>
    </xf>
    <xf numFmtId="0" fontId="106" fillId="0" borderId="15" xfId="35" applyFont="1" applyBorder="1" applyAlignment="1" applyProtection="1">
      <alignment horizontal="left" vertical="center" indent="1"/>
    </xf>
    <xf numFmtId="0" fontId="117" fillId="0" borderId="44" xfId="0" applyFont="1" applyFill="1" applyBorder="1" applyAlignment="1">
      <alignment horizontal="left" vertical="center" wrapText="1" indent="1"/>
    </xf>
    <xf numFmtId="0" fontId="117" fillId="35" borderId="44" xfId="0" applyFont="1" applyFill="1" applyBorder="1" applyAlignment="1">
      <alignment horizontal="left" vertical="center" wrapText="1" indent="1"/>
    </xf>
    <xf numFmtId="0" fontId="107" fillId="0" borderId="13" xfId="0" applyFont="1" applyFill="1" applyBorder="1" applyAlignment="1">
      <alignment vertical="center" wrapText="1"/>
    </xf>
    <xf numFmtId="0" fontId="107" fillId="0" borderId="15" xfId="0" applyFont="1" applyFill="1" applyBorder="1" applyAlignment="1">
      <alignment horizontal="right" vertical="center" wrapText="1" indent="1"/>
    </xf>
    <xf numFmtId="0" fontId="107" fillId="0" borderId="16" xfId="0" applyFont="1" applyFill="1" applyBorder="1" applyAlignment="1">
      <alignment horizontal="right" vertical="center" wrapText="1" indent="1"/>
    </xf>
    <xf numFmtId="0" fontId="107" fillId="0" borderId="22" xfId="0" applyFont="1" applyFill="1" applyBorder="1" applyAlignment="1">
      <alignment horizontal="right" vertical="center" wrapText="1" indent="1"/>
    </xf>
    <xf numFmtId="0" fontId="105" fillId="0" borderId="30" xfId="0" applyFont="1" applyBorder="1" applyAlignment="1">
      <alignment horizontal="center" vertical="center"/>
    </xf>
    <xf numFmtId="0" fontId="105" fillId="0" borderId="31" xfId="0" applyFont="1" applyBorder="1" applyAlignment="1">
      <alignment horizontal="center" vertical="center"/>
    </xf>
    <xf numFmtId="0" fontId="105" fillId="0" borderId="36" xfId="0" applyFont="1" applyBorder="1" applyAlignment="1">
      <alignment horizontal="center" vertical="center"/>
    </xf>
    <xf numFmtId="0" fontId="7" fillId="0" borderId="37" xfId="35" applyBorder="1" applyAlignment="1" applyProtection="1">
      <alignment horizontal="center"/>
    </xf>
    <xf numFmtId="14" fontId="107" fillId="0" borderId="34" xfId="0" applyNumberFormat="1" applyFont="1" applyFill="1" applyBorder="1" applyAlignment="1">
      <alignment horizontal="center" vertical="center" wrapText="1"/>
    </xf>
    <xf numFmtId="14" fontId="107" fillId="0" borderId="14" xfId="0" applyNumberFormat="1" applyFont="1" applyFill="1" applyBorder="1" applyAlignment="1">
      <alignment horizontal="center" vertical="center" wrapText="1"/>
    </xf>
    <xf numFmtId="14" fontId="107" fillId="0" borderId="18" xfId="0" applyNumberFormat="1" applyFont="1" applyFill="1" applyBorder="1" applyAlignment="1">
      <alignment horizontal="center" vertical="center" wrapText="1"/>
    </xf>
    <xf numFmtId="0" fontId="10" fillId="0" borderId="19" xfId="42" applyFont="1" applyBorder="1" applyAlignment="1">
      <alignment wrapText="1"/>
    </xf>
    <xf numFmtId="0" fontId="106" fillId="37" borderId="15" xfId="35" applyFont="1" applyFill="1" applyBorder="1" applyAlignment="1" applyProtection="1">
      <alignment horizontal="left" vertical="center" indent="1"/>
    </xf>
    <xf numFmtId="0" fontId="4" fillId="0" borderId="20" xfId="0" applyFont="1" applyFill="1" applyBorder="1" applyAlignment="1">
      <alignment horizontal="center" vertical="center" wrapText="1"/>
    </xf>
    <xf numFmtId="0" fontId="4" fillId="0" borderId="38" xfId="0" applyFont="1" applyBorder="1" applyAlignment="1">
      <alignment horizontal="center" vertical="center" wrapText="1"/>
    </xf>
    <xf numFmtId="3" fontId="9" fillId="37" borderId="20" xfId="0" applyNumberFormat="1" applyFont="1" applyFill="1" applyBorder="1" applyAlignment="1">
      <alignment horizontal="right" vertical="center" wrapText="1" indent="1"/>
    </xf>
    <xf numFmtId="3" fontId="9" fillId="24" borderId="44" xfId="0" applyNumberFormat="1" applyFont="1" applyFill="1" applyBorder="1" applyAlignment="1">
      <alignment horizontal="right" vertical="center" wrapText="1" indent="1"/>
    </xf>
    <xf numFmtId="3" fontId="9" fillId="24" borderId="60" xfId="0" applyNumberFormat="1" applyFont="1" applyFill="1" applyBorder="1" applyAlignment="1">
      <alignment horizontal="right" vertical="center" wrapText="1" indent="1"/>
    </xf>
    <xf numFmtId="49" fontId="111" fillId="0" borderId="13" xfId="0" applyNumberFormat="1" applyFont="1" applyFill="1" applyBorder="1" applyAlignment="1">
      <alignment horizontal="left" vertical="center" wrapText="1" indent="1"/>
    </xf>
    <xf numFmtId="49" fontId="108" fillId="0" borderId="13" xfId="0" applyNumberFormat="1" applyFont="1" applyFill="1" applyBorder="1" applyAlignment="1">
      <alignment horizontal="left" vertical="center" wrapText="1" indent="1"/>
    </xf>
    <xf numFmtId="0" fontId="112" fillId="0" borderId="0" xfId="0" applyFont="1" applyFill="1" applyBorder="1" applyAlignment="1">
      <alignment horizontal="left" vertical="center" wrapText="1" indent="1"/>
    </xf>
    <xf numFmtId="49" fontId="111" fillId="0" borderId="13" xfId="0" applyNumberFormat="1" applyFont="1" applyFill="1" applyBorder="1" applyAlignment="1">
      <alignment horizontal="left" vertical="center" indent="1"/>
    </xf>
    <xf numFmtId="49" fontId="111" fillId="37" borderId="13" xfId="0" applyNumberFormat="1" applyFont="1" applyFill="1" applyBorder="1" applyAlignment="1">
      <alignment horizontal="left" vertical="center" indent="1"/>
    </xf>
    <xf numFmtId="49" fontId="5" fillId="0" borderId="19" xfId="0" applyNumberFormat="1" applyFont="1" applyFill="1" applyBorder="1" applyAlignment="1">
      <alignment horizontal="left" vertical="center" wrapText="1" indent="1"/>
    </xf>
    <xf numFmtId="0" fontId="106" fillId="0" borderId="14" xfId="35" applyFont="1" applyBorder="1" applyAlignment="1" applyProtection="1">
      <alignment horizontal="left" vertical="center" wrapText="1" indent="1"/>
    </xf>
    <xf numFmtId="0" fontId="20" fillId="0" borderId="0" xfId="0" applyFont="1"/>
    <xf numFmtId="0" fontId="119" fillId="0" borderId="0" xfId="0" applyFont="1"/>
    <xf numFmtId="49" fontId="106" fillId="0" borderId="0" xfId="0" applyNumberFormat="1" applyFont="1" applyAlignment="1">
      <alignment horizontal="left" vertical="center"/>
    </xf>
    <xf numFmtId="49" fontId="106" fillId="0" borderId="0" xfId="0" applyNumberFormat="1" applyFont="1" applyAlignment="1">
      <alignment horizontal="left" vertical="center" wrapText="1"/>
    </xf>
    <xf numFmtId="0" fontId="107" fillId="44" borderId="13" xfId="0" applyFont="1" applyFill="1" applyBorder="1" applyAlignment="1">
      <alignment vertical="center" wrapText="1"/>
    </xf>
    <xf numFmtId="0" fontId="107" fillId="45" borderId="13" xfId="0" applyFont="1" applyFill="1" applyBorder="1" applyAlignment="1">
      <alignment vertical="center" wrapText="1"/>
    </xf>
    <xf numFmtId="0" fontId="107" fillId="46" borderId="29" xfId="0" applyFont="1" applyFill="1" applyBorder="1" applyAlignment="1">
      <alignment vertical="center" wrapText="1"/>
    </xf>
    <xf numFmtId="0" fontId="9" fillId="0" borderId="44" xfId="0" applyFont="1" applyFill="1" applyBorder="1" applyAlignment="1">
      <alignment horizontal="left" vertical="center" wrapText="1" indent="1"/>
    </xf>
    <xf numFmtId="3" fontId="5" fillId="35" borderId="13" xfId="0" applyNumberFormat="1" applyFont="1" applyFill="1" applyBorder="1" applyAlignment="1">
      <alignment horizontal="center" vertical="center" wrapText="1"/>
    </xf>
    <xf numFmtId="0" fontId="7" fillId="0" borderId="20" xfId="35" applyBorder="1" applyAlignment="1" applyProtection="1">
      <alignment horizontal="center"/>
    </xf>
    <xf numFmtId="0" fontId="106" fillId="0" borderId="0" xfId="0" applyFont="1"/>
    <xf numFmtId="3" fontId="108" fillId="0" borderId="13" xfId="0" applyNumberFormat="1" applyFont="1" applyFill="1" applyBorder="1" applyAlignment="1">
      <alignment horizontal="center" vertical="center" wrapText="1"/>
    </xf>
    <xf numFmtId="3" fontId="108" fillId="0" borderId="0" xfId="0" applyNumberFormat="1" applyFont="1"/>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0" fillId="0" borderId="0" xfId="0" applyFont="1" applyAlignment="1">
      <alignment horizontal="center" vertical="center"/>
    </xf>
    <xf numFmtId="0" fontId="106" fillId="43" borderId="20" xfId="0" applyFont="1" applyFill="1" applyBorder="1" applyAlignment="1">
      <alignment horizontal="left" vertical="center" wrapText="1" indent="1"/>
    </xf>
    <xf numFmtId="0" fontId="121" fillId="0" borderId="0" xfId="0" applyFont="1"/>
    <xf numFmtId="0" fontId="5" fillId="0" borderId="27" xfId="0" applyFont="1" applyBorder="1" applyAlignment="1">
      <alignment vertical="center"/>
    </xf>
    <xf numFmtId="3" fontId="4" fillId="24" borderId="39" xfId="0" applyNumberFormat="1" applyFont="1" applyFill="1" applyBorder="1" applyAlignment="1">
      <alignment horizontal="right" vertical="center" wrapText="1" indent="1"/>
    </xf>
    <xf numFmtId="49" fontId="4" fillId="0" borderId="24" xfId="0" applyNumberFormat="1" applyFont="1" applyBorder="1" applyAlignment="1">
      <alignment horizontal="left" vertical="center" wrapText="1" indent="1"/>
    </xf>
    <xf numFmtId="0" fontId="17" fillId="47" borderId="15" xfId="83" quotePrefix="1" applyNumberFormat="1" applyFill="1" applyBorder="1">
      <alignment horizontal="left" vertical="center" indent="1"/>
    </xf>
    <xf numFmtId="0" fontId="17" fillId="0" borderId="14" xfId="83" quotePrefix="1" applyNumberFormat="1" applyFill="1" applyBorder="1">
      <alignment horizontal="left" vertical="center" indent="1"/>
    </xf>
    <xf numFmtId="0" fontId="17" fillId="47" borderId="16" xfId="83" quotePrefix="1" applyNumberFormat="1" applyFill="1" applyBorder="1">
      <alignment horizontal="left" vertical="center" indent="1"/>
    </xf>
    <xf numFmtId="0" fontId="17" fillId="0" borderId="18" xfId="83" quotePrefix="1" applyNumberFormat="1" applyFill="1" applyBorder="1">
      <alignment horizontal="left" vertical="center" indent="1"/>
    </xf>
    <xf numFmtId="3" fontId="9" fillId="24" borderId="15" xfId="0" applyNumberFormat="1" applyFont="1" applyFill="1" applyBorder="1" applyAlignment="1">
      <alignment horizontal="right" vertical="center" wrapText="1" indent="1"/>
    </xf>
    <xf numFmtId="3" fontId="9" fillId="24" borderId="16" xfId="0" applyNumberFormat="1" applyFont="1" applyFill="1" applyBorder="1" applyAlignment="1">
      <alignment horizontal="right" vertical="center" wrapText="1" indent="1"/>
    </xf>
    <xf numFmtId="0" fontId="17" fillId="47" borderId="21" xfId="83" quotePrefix="1" applyNumberFormat="1" applyFill="1" applyBorder="1">
      <alignment horizontal="left" vertical="center" indent="1"/>
    </xf>
    <xf numFmtId="0" fontId="17" fillId="0" borderId="26" xfId="83" quotePrefix="1" applyNumberFormat="1" applyFill="1" applyBorder="1">
      <alignment horizontal="left" vertical="center" indent="1"/>
    </xf>
    <xf numFmtId="0" fontId="5" fillId="0" borderId="49" xfId="0" applyFont="1" applyBorder="1" applyAlignment="1">
      <alignment vertical="center"/>
    </xf>
    <xf numFmtId="3" fontId="9" fillId="24" borderId="21" xfId="0" applyNumberFormat="1" applyFont="1" applyFill="1" applyBorder="1" applyAlignment="1">
      <alignment horizontal="right" vertical="center" wrapText="1" indent="1"/>
    </xf>
    <xf numFmtId="3" fontId="9" fillId="24" borderId="26" xfId="0" applyNumberFormat="1" applyFont="1" applyFill="1" applyBorder="1" applyAlignment="1">
      <alignment horizontal="right" vertical="center" wrapText="1" indent="1"/>
    </xf>
    <xf numFmtId="0" fontId="17" fillId="47" borderId="22" xfId="83" quotePrefix="1" applyNumberFormat="1" applyFill="1" applyBorder="1">
      <alignment horizontal="left" vertical="center" indent="1"/>
    </xf>
    <xf numFmtId="0" fontId="17" fillId="0" borderId="34" xfId="83" quotePrefix="1" applyNumberFormat="1" applyFill="1" applyBorder="1">
      <alignment horizontal="left" vertical="center" indent="1"/>
    </xf>
    <xf numFmtId="3" fontId="9" fillId="24" borderId="22" xfId="0" applyNumberFormat="1" applyFont="1" applyFill="1" applyBorder="1" applyAlignment="1">
      <alignment horizontal="right" vertical="center" wrapText="1" indent="1"/>
    </xf>
    <xf numFmtId="3" fontId="9" fillId="24" borderId="34" xfId="0" applyNumberFormat="1" applyFont="1" applyFill="1" applyBorder="1" applyAlignment="1">
      <alignment horizontal="right" vertical="center" wrapText="1" indent="1"/>
    </xf>
    <xf numFmtId="0" fontId="17" fillId="47" borderId="30" xfId="83" quotePrefix="1" applyNumberFormat="1" applyFill="1" applyBorder="1">
      <alignment horizontal="left" vertical="center" indent="1"/>
    </xf>
    <xf numFmtId="0" fontId="17" fillId="0" borderId="36" xfId="83" quotePrefix="1" applyNumberFormat="1" applyFill="1" applyBorder="1">
      <alignment horizontal="left" vertical="center" indent="1"/>
    </xf>
    <xf numFmtId="3" fontId="4" fillId="24" borderId="47" xfId="0" applyNumberFormat="1" applyFont="1" applyFill="1" applyBorder="1" applyAlignment="1">
      <alignment horizontal="right" vertical="center" wrapText="1" indent="1"/>
    </xf>
    <xf numFmtId="3" fontId="9" fillId="24" borderId="30" xfId="0" applyNumberFormat="1" applyFont="1" applyFill="1" applyBorder="1" applyAlignment="1">
      <alignment horizontal="right" vertical="center" wrapText="1" indent="1"/>
    </xf>
    <xf numFmtId="3" fontId="9" fillId="24" borderId="36" xfId="0" applyNumberFormat="1" applyFont="1" applyFill="1" applyBorder="1" applyAlignment="1">
      <alignment horizontal="right" vertical="center" wrapText="1" indent="1"/>
    </xf>
    <xf numFmtId="0" fontId="5" fillId="0" borderId="32" xfId="0" applyFont="1" applyBorder="1" applyAlignment="1">
      <alignment vertical="center"/>
    </xf>
    <xf numFmtId="0" fontId="5" fillId="0" borderId="20" xfId="0" applyFont="1" applyBorder="1" applyAlignment="1">
      <alignment vertical="center"/>
    </xf>
    <xf numFmtId="0" fontId="5" fillId="0" borderId="35" xfId="0" applyFont="1" applyBorder="1" applyAlignment="1">
      <alignment vertical="center"/>
    </xf>
    <xf numFmtId="3" fontId="4" fillId="24" borderId="55" xfId="0" applyNumberFormat="1" applyFont="1" applyFill="1" applyBorder="1" applyAlignment="1">
      <alignment horizontal="right" vertical="center" wrapText="1" indent="1"/>
    </xf>
    <xf numFmtId="3" fontId="4" fillId="24" borderId="62" xfId="0" applyNumberFormat="1" applyFont="1" applyFill="1" applyBorder="1" applyAlignment="1">
      <alignment horizontal="right" vertical="center" wrapText="1" indent="1"/>
    </xf>
    <xf numFmtId="3" fontId="4" fillId="24" borderId="63" xfId="0" applyNumberFormat="1" applyFont="1" applyFill="1" applyBorder="1" applyAlignment="1">
      <alignment horizontal="right" vertical="center" wrapText="1" inden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3" fontId="9" fillId="24" borderId="23" xfId="0" applyNumberFormat="1" applyFont="1" applyFill="1" applyBorder="1" applyAlignment="1">
      <alignment horizontal="right" vertical="center" wrapText="1" indent="1"/>
    </xf>
    <xf numFmtId="3" fontId="9" fillId="24" borderId="24" xfId="0" applyNumberFormat="1" applyFont="1" applyFill="1" applyBorder="1" applyAlignment="1">
      <alignment horizontal="right" vertical="center" wrapText="1" indent="1"/>
    </xf>
    <xf numFmtId="0" fontId="17" fillId="39" borderId="66" xfId="83" quotePrefix="1" applyNumberFormat="1" applyFill="1" applyBorder="1" applyProtection="1">
      <alignment horizontal="left" vertical="center" indent="1"/>
    </xf>
    <xf numFmtId="0" fontId="17" fillId="39" borderId="67" xfId="83" quotePrefix="1" applyNumberFormat="1" applyFill="1" applyBorder="1" applyProtection="1">
      <alignment horizontal="left" vertical="center" indent="1"/>
    </xf>
    <xf numFmtId="0" fontId="17" fillId="0" borderId="66" xfId="83" quotePrefix="1" applyNumberFormat="1" applyFill="1" applyBorder="1" applyProtection="1">
      <alignment horizontal="left" vertical="center" indent="1"/>
    </xf>
    <xf numFmtId="0" fontId="17" fillId="0" borderId="67" xfId="83" quotePrefix="1" applyNumberFormat="1" applyFill="1" applyBorder="1" applyProtection="1">
      <alignment horizontal="left" vertical="center" indent="1"/>
    </xf>
    <xf numFmtId="3" fontId="9" fillId="0" borderId="33" xfId="0" applyNumberFormat="1" applyFont="1" applyFill="1" applyBorder="1" applyAlignment="1">
      <alignment horizontal="center" vertical="center" wrapText="1"/>
    </xf>
    <xf numFmtId="3" fontId="9" fillId="0" borderId="68" xfId="0" applyNumberFormat="1" applyFont="1" applyFill="1" applyBorder="1" applyAlignment="1">
      <alignment horizontal="center" vertical="center" wrapText="1"/>
    </xf>
    <xf numFmtId="3" fontId="9" fillId="0" borderId="51" xfId="0" applyNumberFormat="1" applyFont="1" applyFill="1" applyBorder="1" applyAlignment="1">
      <alignment horizontal="center" vertical="center" wrapText="1"/>
    </xf>
    <xf numFmtId="3" fontId="9" fillId="0" borderId="69" xfId="0" applyNumberFormat="1"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17" fillId="39" borderId="70" xfId="83" quotePrefix="1" applyNumberFormat="1" applyFill="1" applyBorder="1" applyProtection="1">
      <alignment horizontal="left" vertical="center" indent="1"/>
    </xf>
    <xf numFmtId="0" fontId="17" fillId="0" borderId="70" xfId="83" quotePrefix="1" applyNumberFormat="1" applyFill="1" applyBorder="1" applyProtection="1">
      <alignment horizontal="left" vertical="center" indent="1"/>
    </xf>
    <xf numFmtId="0" fontId="17" fillId="39" borderId="71" xfId="83" quotePrefix="1" applyNumberFormat="1" applyFill="1" applyBorder="1" applyProtection="1">
      <alignment horizontal="left" vertical="center" indent="1"/>
    </xf>
    <xf numFmtId="0" fontId="17" fillId="0" borderId="71" xfId="83" quotePrefix="1" applyNumberFormat="1" applyFill="1" applyBorder="1" applyProtection="1">
      <alignment horizontal="left" vertical="center" indent="1"/>
    </xf>
    <xf numFmtId="0" fontId="5" fillId="0" borderId="33" xfId="0" applyFont="1" applyBorder="1" applyAlignment="1">
      <alignment horizontal="center" vertical="center"/>
    </xf>
    <xf numFmtId="49" fontId="111" fillId="0" borderId="50" xfId="0" applyNumberFormat="1" applyFont="1" applyFill="1" applyBorder="1" applyAlignment="1">
      <alignment horizontal="left" vertical="top" wrapText="1"/>
    </xf>
    <xf numFmtId="0" fontId="9" fillId="37" borderId="55" xfId="44" applyFont="1" applyFill="1" applyBorder="1" applyAlignment="1">
      <alignment horizontal="center" vertical="center" wrapText="1"/>
    </xf>
    <xf numFmtId="0" fontId="9" fillId="37" borderId="72" xfId="44" applyFont="1" applyFill="1" applyBorder="1" applyAlignment="1">
      <alignment horizontal="center" vertical="center" wrapText="1"/>
    </xf>
    <xf numFmtId="3" fontId="4" fillId="24" borderId="73" xfId="0" applyNumberFormat="1" applyFont="1" applyFill="1" applyBorder="1" applyAlignment="1">
      <alignment horizontal="right" vertical="center" wrapText="1" indent="1"/>
    </xf>
    <xf numFmtId="49" fontId="61" fillId="32" borderId="28" xfId="42" applyNumberFormat="1" applyFont="1" applyFill="1" applyBorder="1" applyAlignment="1">
      <alignment horizontal="center"/>
    </xf>
    <xf numFmtId="3" fontId="4" fillId="24" borderId="59" xfId="0" applyNumberFormat="1" applyFont="1" applyFill="1" applyBorder="1" applyAlignment="1">
      <alignment horizontal="right" vertical="center" wrapText="1" indent="1"/>
    </xf>
    <xf numFmtId="3" fontId="4" fillId="24" borderId="44" xfId="0" applyNumberFormat="1" applyFont="1" applyFill="1" applyBorder="1" applyAlignment="1">
      <alignment horizontal="right" vertical="center" wrapText="1" indent="1"/>
    </xf>
    <xf numFmtId="3" fontId="4" fillId="24" borderId="45" xfId="0" applyNumberFormat="1" applyFont="1" applyFill="1" applyBorder="1" applyAlignment="1">
      <alignment horizontal="right" vertical="center" wrapText="1" indent="1"/>
    </xf>
    <xf numFmtId="3" fontId="4" fillId="24" borderId="72" xfId="0" applyNumberFormat="1" applyFont="1" applyFill="1" applyBorder="1" applyAlignment="1">
      <alignment horizontal="right" vertical="center" wrapText="1" indent="1"/>
    </xf>
    <xf numFmtId="49" fontId="10" fillId="0" borderId="0" xfId="0" applyNumberFormat="1" applyFont="1" applyAlignment="1">
      <alignment horizontal="left" vertical="center"/>
    </xf>
    <xf numFmtId="0" fontId="4" fillId="0" borderId="15" xfId="0" applyFont="1" applyBorder="1" applyAlignment="1">
      <alignment horizontal="center" vertical="center" wrapText="1"/>
    </xf>
    <xf numFmtId="49" fontId="4" fillId="0" borderId="13" xfId="0" applyNumberFormat="1" applyFont="1" applyBorder="1" applyAlignment="1">
      <alignment horizontal="left" vertical="center" wrapText="1" indent="1"/>
    </xf>
    <xf numFmtId="0" fontId="4" fillId="0" borderId="13" xfId="0" applyFont="1" applyBorder="1" applyAlignment="1">
      <alignment horizontal="center" vertical="center" wrapText="1"/>
    </xf>
    <xf numFmtId="0" fontId="9" fillId="0" borderId="15" xfId="42" applyFont="1" applyBorder="1" applyAlignment="1">
      <alignment horizontal="center" vertical="center" wrapText="1"/>
    </xf>
    <xf numFmtId="0" fontId="9" fillId="0" borderId="33" xfId="42" applyFont="1" applyBorder="1" applyAlignment="1">
      <alignment horizontal="center" vertical="center" wrapText="1"/>
    </xf>
    <xf numFmtId="0" fontId="5" fillId="0" borderId="0" xfId="0" applyFont="1" applyAlignment="1"/>
    <xf numFmtId="0" fontId="5" fillId="0" borderId="0" xfId="0" applyFont="1" applyAlignment="1">
      <alignment vertical="top" wrapText="1"/>
    </xf>
    <xf numFmtId="49" fontId="9" fillId="24" borderId="17" xfId="42" applyNumberFormat="1" applyFont="1" applyFill="1" applyBorder="1" applyAlignment="1">
      <alignment horizontal="center"/>
    </xf>
    <xf numFmtId="164" fontId="10" fillId="24" borderId="17" xfId="28" applyNumberFormat="1" applyFont="1" applyFill="1" applyBorder="1"/>
    <xf numFmtId="49" fontId="5" fillId="0" borderId="13" xfId="0" applyNumberFormat="1" applyFont="1" applyFill="1" applyBorder="1" applyAlignment="1">
      <alignment horizontal="left" vertical="top" wrapText="1" indent="1"/>
    </xf>
    <xf numFmtId="49" fontId="4" fillId="0" borderId="13" xfId="0" applyNumberFormat="1" applyFont="1" applyFill="1" applyBorder="1" applyAlignment="1">
      <alignment horizontal="left" vertical="top" wrapText="1" indent="1"/>
    </xf>
    <xf numFmtId="49" fontId="4" fillId="0" borderId="17" xfId="0" applyNumberFormat="1" applyFont="1" applyFill="1" applyBorder="1" applyAlignment="1">
      <alignment horizontal="left" vertical="top" wrapText="1" indent="1"/>
    </xf>
    <xf numFmtId="0" fontId="107" fillId="0" borderId="15" xfId="35" applyFont="1" applyBorder="1" applyAlignment="1" applyProtection="1">
      <alignment horizontal="left" vertical="center" indent="1"/>
    </xf>
    <xf numFmtId="0" fontId="107" fillId="0" borderId="15" xfId="35" applyFont="1" applyFill="1" applyBorder="1" applyAlignment="1" applyProtection="1">
      <alignment horizontal="left" vertical="center" indent="1"/>
    </xf>
    <xf numFmtId="0" fontId="107" fillId="0" borderId="20" xfId="35" applyFont="1" applyBorder="1" applyAlignment="1" applyProtection="1">
      <alignment horizontal="left" vertical="center" indent="1"/>
    </xf>
    <xf numFmtId="0" fontId="107" fillId="0" borderId="14" xfId="0" applyFont="1" applyBorder="1" applyAlignment="1">
      <alignment horizontal="left" vertical="center" wrapText="1" indent="1"/>
    </xf>
    <xf numFmtId="0" fontId="107" fillId="37" borderId="15" xfId="35" applyFont="1" applyFill="1" applyBorder="1" applyAlignment="1" applyProtection="1">
      <alignment horizontal="left" vertical="center" indent="1"/>
    </xf>
    <xf numFmtId="0" fontId="107" fillId="0" borderId="54" xfId="0" applyFont="1" applyBorder="1"/>
    <xf numFmtId="0" fontId="120" fillId="0" borderId="20" xfId="35" applyFont="1" applyBorder="1" applyAlignment="1" applyProtection="1">
      <alignment horizontal="center"/>
    </xf>
    <xf numFmtId="0" fontId="10" fillId="0" borderId="15" xfId="35" applyFont="1" applyBorder="1" applyAlignment="1" applyProtection="1">
      <alignment horizontal="left" vertical="center" indent="1"/>
    </xf>
    <xf numFmtId="0" fontId="10" fillId="0" borderId="20" xfId="35" applyFont="1" applyBorder="1" applyAlignment="1" applyProtection="1">
      <alignment horizontal="left" vertical="center" indent="1"/>
    </xf>
    <xf numFmtId="0" fontId="105" fillId="0" borderId="44" xfId="0" applyFont="1" applyFill="1" applyBorder="1" applyAlignment="1">
      <alignment horizontal="left" vertical="center" wrapText="1" indent="1"/>
    </xf>
    <xf numFmtId="0" fontId="106" fillId="0" borderId="54" xfId="0" applyFont="1" applyBorder="1"/>
    <xf numFmtId="0" fontId="110" fillId="0" borderId="54" xfId="0" applyFont="1" applyBorder="1"/>
    <xf numFmtId="0" fontId="106" fillId="0" borderId="24" xfId="0" applyFont="1" applyBorder="1" applyAlignment="1">
      <alignment horizontal="left" vertical="center" wrapText="1" indent="1"/>
    </xf>
    <xf numFmtId="0" fontId="87" fillId="0" borderId="18" xfId="35" applyFont="1" applyBorder="1" applyAlignment="1" applyProtection="1">
      <alignment horizontal="left" vertical="center" inden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11" fillId="0" borderId="0" xfId="0" applyFont="1" applyBorder="1"/>
    <xf numFmtId="49" fontId="129" fillId="0" borderId="29" xfId="0" applyNumberFormat="1" applyFont="1" applyBorder="1" applyAlignment="1">
      <alignment horizontal="left" indent="1"/>
    </xf>
    <xf numFmtId="4" fontId="129" fillId="35" borderId="29" xfId="0" applyNumberFormat="1" applyFont="1" applyFill="1" applyBorder="1" applyAlignment="1">
      <alignment horizontal="right" vertical="center" wrapText="1" indent="1"/>
    </xf>
    <xf numFmtId="0" fontId="9" fillId="0" borderId="86" xfId="0" applyFont="1" applyBorder="1" applyAlignment="1">
      <alignment horizontal="left" vertical="center" wrapText="1" indent="1"/>
    </xf>
    <xf numFmtId="49" fontId="4" fillId="0" borderId="13" xfId="0" applyNumberFormat="1" applyFont="1" applyFill="1" applyBorder="1" applyAlignment="1">
      <alignment vertical="center" wrapText="1"/>
    </xf>
    <xf numFmtId="49" fontId="113" fillId="0" borderId="13"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105" fillId="0" borderId="13" xfId="41" applyFont="1" applyBorder="1" applyAlignment="1">
      <alignment horizontal="center" vertical="center" wrapText="1"/>
    </xf>
    <xf numFmtId="0" fontId="73" fillId="0" borderId="35" xfId="41" applyFont="1" applyBorder="1"/>
    <xf numFmtId="0" fontId="104" fillId="0" borderId="48" xfId="41" applyBorder="1"/>
    <xf numFmtId="0" fontId="104" fillId="0" borderId="37" xfId="41" applyBorder="1" applyAlignment="1">
      <alignment horizontal="left"/>
    </xf>
    <xf numFmtId="0" fontId="104" fillId="0" borderId="52" xfId="41" applyBorder="1"/>
    <xf numFmtId="0" fontId="105" fillId="48" borderId="20" xfId="41" applyFont="1" applyFill="1" applyBorder="1" applyAlignment="1">
      <alignment horizontal="center" vertical="center" wrapText="1"/>
    </xf>
    <xf numFmtId="0" fontId="5" fillId="0" borderId="81" xfId="0" applyFont="1" applyFill="1" applyBorder="1" applyAlignment="1">
      <alignment horizontal="center" vertical="center" wrapText="1"/>
    </xf>
    <xf numFmtId="0" fontId="9" fillId="0" borderId="81" xfId="0" applyFont="1" applyFill="1" applyBorder="1" applyAlignment="1">
      <alignment horizontal="left" vertical="center" wrapText="1" indent="1"/>
    </xf>
    <xf numFmtId="0" fontId="9" fillId="0" borderId="81" xfId="0" applyFont="1" applyFill="1" applyBorder="1" applyAlignment="1">
      <alignment horizontal="center" vertical="center" wrapText="1"/>
    </xf>
    <xf numFmtId="0" fontId="5" fillId="0" borderId="81" xfId="0" applyFont="1" applyFill="1" applyBorder="1" applyAlignment="1">
      <alignment horizontal="right" vertical="center" wrapText="1" indent="1"/>
    </xf>
    <xf numFmtId="0" fontId="4" fillId="0" borderId="22" xfId="40" applyFont="1" applyBorder="1" applyAlignment="1">
      <alignment horizontal="center" vertical="center" wrapText="1"/>
    </xf>
    <xf numFmtId="49" fontId="4" fillId="0" borderId="37" xfId="40" applyNumberFormat="1" applyFont="1" applyBorder="1" applyAlignment="1">
      <alignment horizontal="center" vertical="center" wrapText="1"/>
    </xf>
    <xf numFmtId="49" fontId="130" fillId="0" borderId="54" xfId="40" applyNumberFormat="1" applyFont="1" applyBorder="1"/>
    <xf numFmtId="0" fontId="26" fillId="0" borderId="27" xfId="40" applyFont="1" applyBorder="1"/>
    <xf numFmtId="0" fontId="10" fillId="0" borderId="54" xfId="40" applyFont="1" applyBorder="1" applyAlignment="1">
      <alignment horizontal="center" vertical="center" wrapText="1"/>
    </xf>
    <xf numFmtId="0" fontId="9" fillId="0" borderId="13" xfId="40" applyFont="1" applyBorder="1" applyAlignment="1">
      <alignment horizontal="center" vertical="center" wrapText="1"/>
    </xf>
    <xf numFmtId="0" fontId="106" fillId="32" borderId="15" xfId="0" applyFont="1" applyFill="1" applyBorder="1" applyAlignment="1">
      <alignment vertical="center" wrapText="1"/>
    </xf>
    <xf numFmtId="0" fontId="106" fillId="0" borderId="16" xfId="35" applyFont="1" applyBorder="1" applyAlignment="1" applyProtection="1">
      <alignment horizontal="left" vertical="center" indent="1"/>
    </xf>
    <xf numFmtId="0" fontId="26" fillId="0" borderId="20" xfId="40" applyFont="1" applyBorder="1" applyAlignment="1">
      <alignment vertical="center"/>
    </xf>
    <xf numFmtId="0" fontId="26" fillId="0" borderId="54" xfId="40" applyFont="1" applyBorder="1" applyAlignment="1">
      <alignment vertical="center"/>
    </xf>
    <xf numFmtId="0" fontId="9" fillId="0" borderId="14" xfId="40" applyFont="1" applyBorder="1" applyAlignment="1">
      <alignment horizontal="center" vertical="center" wrapText="1"/>
    </xf>
    <xf numFmtId="0" fontId="10" fillId="0" borderId="32" xfId="40" applyFont="1" applyBorder="1" applyAlignment="1">
      <alignment horizontal="center" vertical="center" wrapText="1"/>
    </xf>
    <xf numFmtId="0" fontId="10" fillId="0" borderId="38" xfId="4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9" fontId="118" fillId="0" borderId="13" xfId="0" applyNumberFormat="1" applyFont="1" applyFill="1" applyBorder="1" applyAlignment="1">
      <alignment horizontal="left" vertical="top" wrapText="1" indent="1"/>
    </xf>
    <xf numFmtId="0" fontId="106" fillId="0" borderId="15" xfId="0" applyFont="1" applyFill="1" applyBorder="1" applyAlignment="1">
      <alignment vertical="center" wrapText="1"/>
    </xf>
    <xf numFmtId="0" fontId="9" fillId="0" borderId="65" xfId="0" applyFont="1" applyFill="1" applyBorder="1" applyAlignment="1">
      <alignment horizontal="center" vertical="center" wrapText="1"/>
    </xf>
    <xf numFmtId="0" fontId="10" fillId="0" borderId="20" xfId="0" applyFont="1" applyFill="1" applyBorder="1" applyAlignment="1">
      <alignment horizontal="left" vertical="center" wrapText="1" indent="1"/>
    </xf>
    <xf numFmtId="0" fontId="107" fillId="0" borderId="20" xfId="0" applyFont="1" applyFill="1" applyBorder="1" applyAlignment="1">
      <alignment horizontal="left" vertical="center" wrapText="1" indent="1"/>
    </xf>
    <xf numFmtId="0" fontId="106" fillId="0" borderId="20" xfId="0" applyFont="1" applyFill="1" applyBorder="1" applyAlignment="1">
      <alignment horizontal="left" vertical="center" wrapText="1" indent="1"/>
    </xf>
    <xf numFmtId="0" fontId="10" fillId="0" borderId="28" xfId="0" applyFont="1" applyFill="1" applyBorder="1" applyAlignment="1">
      <alignment horizontal="left" vertical="center" wrapText="1" indent="1"/>
    </xf>
    <xf numFmtId="0" fontId="10" fillId="0" borderId="44" xfId="0" applyNumberFormat="1" applyFont="1" applyFill="1" applyBorder="1" applyAlignment="1">
      <alignment horizontal="left" vertical="center" wrapText="1" indent="1"/>
    </xf>
    <xf numFmtId="0" fontId="106" fillId="0" borderId="44" xfId="0" applyFont="1" applyFill="1" applyBorder="1" applyAlignment="1">
      <alignment horizontal="left" vertical="center" wrapText="1" indent="1"/>
    </xf>
    <xf numFmtId="0" fontId="10" fillId="0" borderId="44" xfId="0" applyFont="1" applyFill="1" applyBorder="1" applyAlignment="1">
      <alignment vertical="center" wrapText="1"/>
    </xf>
    <xf numFmtId="0" fontId="10" fillId="0" borderId="73" xfId="0" applyNumberFormat="1" applyFont="1" applyFill="1" applyBorder="1" applyAlignment="1">
      <alignment horizontal="left" vertical="center" wrapText="1" indent="1"/>
    </xf>
    <xf numFmtId="49" fontId="112" fillId="43" borderId="13" xfId="0" applyNumberFormat="1" applyFont="1" applyFill="1" applyBorder="1" applyAlignment="1">
      <alignment horizontal="left" vertical="center" wrapText="1" indent="1"/>
    </xf>
    <xf numFmtId="0" fontId="132" fillId="0" borderId="88" xfId="0" applyFont="1" applyBorder="1" applyAlignment="1">
      <alignment horizontal="center" vertical="center" wrapText="1"/>
    </xf>
    <xf numFmtId="3" fontId="9" fillId="37" borderId="44" xfId="0" applyNumberFormat="1" applyFont="1" applyFill="1" applyBorder="1" applyAlignment="1">
      <alignment horizontal="right" vertical="center" wrapText="1" indent="1"/>
    </xf>
    <xf numFmtId="3" fontId="9" fillId="24" borderId="67" xfId="0" applyNumberFormat="1" applyFont="1" applyFill="1" applyBorder="1" applyAlignment="1">
      <alignment horizontal="right" vertical="center" wrapText="1" indent="1"/>
    </xf>
    <xf numFmtId="3" fontId="9" fillId="24" borderId="89" xfId="0" applyNumberFormat="1" applyFont="1" applyFill="1" applyBorder="1" applyAlignment="1">
      <alignment horizontal="right" vertical="center" wrapText="1" indent="1"/>
    </xf>
    <xf numFmtId="0" fontId="4" fillId="0" borderId="61" xfId="0" applyFont="1" applyBorder="1" applyAlignment="1">
      <alignment horizontal="center" vertical="center" wrapText="1"/>
    </xf>
    <xf numFmtId="0" fontId="4" fillId="0" borderId="12" xfId="0" applyFont="1" applyBorder="1" applyAlignment="1">
      <alignment horizontal="center" vertical="center" wrapText="1"/>
    </xf>
    <xf numFmtId="166" fontId="5" fillId="39" borderId="0" xfId="0" applyNumberFormat="1" applyFont="1" applyFill="1" applyAlignment="1">
      <alignment horizontal="right" vertical="center" indent="1"/>
    </xf>
    <xf numFmtId="4" fontId="5" fillId="0" borderId="0" xfId="0" applyNumberFormat="1" applyFont="1" applyFill="1" applyAlignment="1">
      <alignment horizontal="right" vertical="center" indent="1"/>
    </xf>
    <xf numFmtId="0" fontId="5" fillId="39" borderId="0" xfId="0" applyFont="1" applyFill="1"/>
    <xf numFmtId="166" fontId="5" fillId="39" borderId="0" xfId="0" applyNumberFormat="1" applyFont="1" applyFill="1"/>
    <xf numFmtId="166" fontId="5" fillId="0" borderId="0" xfId="0" applyNumberFormat="1" applyFont="1"/>
    <xf numFmtId="0" fontId="133" fillId="0" borderId="20" xfId="35" applyFont="1" applyBorder="1" applyAlignment="1" applyProtection="1">
      <alignment horizontal="center"/>
    </xf>
    <xf numFmtId="0" fontId="134" fillId="0" borderId="0" xfId="0" applyFont="1" applyAlignment="1">
      <alignment horizontal="center"/>
    </xf>
    <xf numFmtId="2" fontId="4" fillId="0" borderId="13"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5" fillId="0" borderId="0" xfId="0" applyNumberFormat="1" applyFont="1"/>
    <xf numFmtId="4" fontId="4" fillId="24"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10" fillId="35" borderId="13" xfId="0" applyNumberFormat="1" applyFont="1" applyFill="1" applyBorder="1" applyAlignment="1">
      <alignment horizontal="right" vertical="center" wrapText="1" indent="1"/>
    </xf>
    <xf numFmtId="1" fontId="4" fillId="0" borderId="13" xfId="0" applyNumberFormat="1" applyFont="1" applyBorder="1" applyAlignment="1">
      <alignment horizontal="center" vertical="center" wrapText="1"/>
    </xf>
    <xf numFmtId="4" fontId="9" fillId="24" borderId="13" xfId="0" applyNumberFormat="1" applyFont="1" applyFill="1" applyBorder="1" applyAlignment="1">
      <alignment horizontal="right" vertical="center" wrapText="1" indent="1"/>
    </xf>
    <xf numFmtId="4" fontId="4" fillId="35" borderId="17" xfId="0" applyNumberFormat="1" applyFont="1" applyFill="1" applyBorder="1" applyAlignment="1">
      <alignment horizontal="right" vertical="center" wrapText="1" indent="1"/>
    </xf>
    <xf numFmtId="4" fontId="4" fillId="24" borderId="38" xfId="0" applyNumberFormat="1" applyFont="1" applyFill="1" applyBorder="1" applyAlignment="1">
      <alignment horizontal="right" vertical="center" wrapText="1" indent="1"/>
    </xf>
    <xf numFmtId="4" fontId="5" fillId="35" borderId="38" xfId="0" applyNumberFormat="1" applyFont="1" applyFill="1" applyBorder="1" applyAlignment="1">
      <alignment horizontal="right" vertical="center" wrapText="1" indent="1"/>
    </xf>
    <xf numFmtId="4" fontId="10" fillId="35" borderId="38" xfId="0" applyNumberFormat="1" applyFont="1" applyFill="1" applyBorder="1" applyAlignment="1">
      <alignment horizontal="right" vertical="center" wrapText="1" indent="1"/>
    </xf>
    <xf numFmtId="4" fontId="4" fillId="0" borderId="13" xfId="0" applyNumberFormat="1" applyFont="1" applyFill="1" applyBorder="1" applyAlignment="1">
      <alignment horizontal="center" vertical="center" wrapText="1"/>
    </xf>
    <xf numFmtId="4" fontId="9"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xf>
    <xf numFmtId="4" fontId="108" fillId="0" borderId="13" xfId="0" applyNumberFormat="1" applyFont="1" applyFill="1" applyBorder="1" applyAlignment="1">
      <alignment horizontal="center" vertical="center" wrapText="1"/>
    </xf>
    <xf numFmtId="4" fontId="9" fillId="24" borderId="17" xfId="0" applyNumberFormat="1" applyFont="1" applyFill="1" applyBorder="1" applyAlignment="1">
      <alignment horizontal="right" vertical="center" wrapText="1" indent="1"/>
    </xf>
    <xf numFmtId="4" fontId="9" fillId="35" borderId="20" xfId="0" applyNumberFormat="1" applyFont="1" applyFill="1" applyBorder="1" applyAlignment="1">
      <alignment horizontal="right" vertical="center" wrapText="1" indent="1"/>
    </xf>
    <xf numFmtId="4" fontId="10" fillId="0" borderId="13" xfId="0" applyNumberFormat="1" applyFont="1" applyBorder="1" applyAlignment="1">
      <alignment horizontal="center" vertical="center" wrapText="1"/>
    </xf>
    <xf numFmtId="4" fontId="9" fillId="24" borderId="20" xfId="0" applyNumberFormat="1" applyFont="1" applyFill="1" applyBorder="1" applyAlignment="1">
      <alignment horizontal="right" vertical="center" wrapText="1" indent="1"/>
    </xf>
    <xf numFmtId="4" fontId="9" fillId="24" borderId="28" xfId="0" applyNumberFormat="1" applyFont="1" applyFill="1" applyBorder="1" applyAlignment="1">
      <alignment horizontal="right" vertical="center" wrapText="1" indent="1"/>
    </xf>
    <xf numFmtId="4" fontId="10" fillId="0" borderId="14" xfId="0" applyNumberFormat="1" applyFont="1" applyBorder="1" applyAlignment="1">
      <alignment horizontal="center" vertical="center" wrapText="1"/>
    </xf>
    <xf numFmtId="4" fontId="9" fillId="35" borderId="14" xfId="0" applyNumberFormat="1" applyFont="1" applyFill="1" applyBorder="1" applyAlignment="1">
      <alignment horizontal="right" vertical="center" wrapText="1" indent="1"/>
    </xf>
    <xf numFmtId="4" fontId="9" fillId="24" borderId="27" xfId="0" applyNumberFormat="1" applyFont="1" applyFill="1" applyBorder="1" applyAlignment="1">
      <alignment horizontal="right" vertical="center" wrapText="1" indent="1"/>
    </xf>
    <xf numFmtId="4" fontId="9" fillId="35" borderId="27" xfId="0" applyNumberFormat="1" applyFont="1" applyFill="1" applyBorder="1" applyAlignment="1">
      <alignment horizontal="right" vertical="center" wrapText="1" inden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35" borderId="14" xfId="0" applyNumberFormat="1" applyFont="1" applyFill="1" applyBorder="1" applyAlignment="1">
      <alignment horizontal="right" vertical="center" wrapText="1" indent="1"/>
    </xf>
    <xf numFmtId="4" fontId="9" fillId="24" borderId="14" xfId="0" applyNumberFormat="1" applyFont="1" applyFill="1" applyBorder="1" applyAlignment="1">
      <alignment horizontal="right" vertical="center" wrapText="1" indent="1"/>
    </xf>
    <xf numFmtId="4" fontId="5" fillId="35" borderId="14" xfId="0" applyNumberFormat="1" applyFont="1" applyFill="1" applyBorder="1" applyAlignment="1">
      <alignment horizontal="right" vertical="center" wrapText="1" indent="1"/>
    </xf>
    <xf numFmtId="4" fontId="9" fillId="24" borderId="13" xfId="40" applyNumberFormat="1" applyFont="1" applyFill="1" applyBorder="1" applyAlignment="1">
      <alignment horizontal="right" vertical="center" wrapText="1" indent="1"/>
    </xf>
    <xf numFmtId="4" fontId="9" fillId="24" borderId="38" xfId="40" applyNumberFormat="1" applyFont="1" applyFill="1" applyBorder="1" applyAlignment="1">
      <alignment horizontal="right" vertical="center" wrapText="1" indent="1"/>
    </xf>
    <xf numFmtId="4" fontId="4" fillId="35" borderId="13" xfId="0" applyNumberFormat="1" applyFont="1" applyFill="1" applyBorder="1" applyAlignment="1">
      <alignment horizontal="right" vertical="center" wrapText="1" indent="1"/>
    </xf>
    <xf numFmtId="4" fontId="4" fillId="35" borderId="14" xfId="0" applyNumberFormat="1" applyFont="1" applyFill="1" applyBorder="1" applyAlignment="1">
      <alignment horizontal="right" vertical="center" wrapText="1" indent="1"/>
    </xf>
    <xf numFmtId="4" fontId="4" fillId="24" borderId="14" xfId="0" applyNumberFormat="1" applyFont="1" applyFill="1" applyBorder="1" applyAlignment="1">
      <alignment horizontal="right" vertical="center" wrapText="1" indent="1"/>
    </xf>
    <xf numFmtId="4" fontId="4" fillId="24" borderId="17" xfId="0" applyNumberFormat="1" applyFont="1" applyFill="1" applyBorder="1" applyAlignment="1">
      <alignment horizontal="right" vertical="center" wrapText="1" indent="1"/>
    </xf>
    <xf numFmtId="4" fontId="4" fillId="24" borderId="18" xfId="0" applyNumberFormat="1" applyFont="1" applyFill="1" applyBorder="1" applyAlignment="1">
      <alignment horizontal="right" vertical="center" wrapText="1" indent="1"/>
    </xf>
    <xf numFmtId="166" fontId="89" fillId="40" borderId="13" xfId="0" applyNumberFormat="1" applyFont="1" applyFill="1" applyBorder="1" applyAlignment="1">
      <alignment vertical="center" wrapText="1"/>
    </xf>
    <xf numFmtId="166" fontId="89" fillId="41" borderId="13" xfId="0" applyNumberFormat="1" applyFont="1" applyFill="1" applyBorder="1" applyAlignment="1">
      <alignment vertical="center" wrapText="1"/>
    </xf>
    <xf numFmtId="166" fontId="89" fillId="35" borderId="13" xfId="0" applyNumberFormat="1" applyFont="1" applyFill="1" applyBorder="1" applyAlignment="1">
      <alignment vertical="center" wrapText="1"/>
    </xf>
    <xf numFmtId="166" fontId="89" fillId="24" borderId="13" xfId="0" applyNumberFormat="1" applyFont="1" applyFill="1" applyBorder="1" applyAlignment="1">
      <alignment vertical="center" wrapText="1"/>
    </xf>
    <xf numFmtId="166" fontId="89" fillId="41" borderId="14" xfId="0" applyNumberFormat="1" applyFont="1" applyFill="1" applyBorder="1" applyAlignment="1">
      <alignment vertical="center" wrapText="1"/>
    </xf>
    <xf numFmtId="166" fontId="77" fillId="40" borderId="13" xfId="0" applyNumberFormat="1" applyFont="1" applyFill="1" applyBorder="1" applyAlignment="1">
      <alignment vertical="center" wrapText="1"/>
    </xf>
    <xf numFmtId="166" fontId="77" fillId="35" borderId="13" xfId="0" applyNumberFormat="1" applyFont="1" applyFill="1" applyBorder="1" applyAlignment="1">
      <alignment vertical="center" wrapText="1"/>
    </xf>
    <xf numFmtId="166" fontId="89" fillId="0" borderId="13" xfId="0" applyNumberFormat="1" applyFont="1" applyFill="1" applyBorder="1" applyAlignment="1">
      <alignment horizontal="center" vertical="center" wrapText="1"/>
    </xf>
    <xf numFmtId="166" fontId="77" fillId="40" borderId="13" xfId="0" applyNumberFormat="1" applyFont="1" applyFill="1" applyBorder="1" applyAlignment="1">
      <alignment vertical="top" wrapText="1"/>
    </xf>
    <xf numFmtId="166" fontId="114" fillId="0" borderId="13" xfId="0" applyNumberFormat="1" applyFont="1" applyFill="1" applyBorder="1" applyAlignment="1">
      <alignment horizontal="center" vertical="center" wrapText="1"/>
    </xf>
    <xf numFmtId="166" fontId="115" fillId="40" borderId="13" xfId="0" applyNumberFormat="1" applyFont="1" applyFill="1" applyBorder="1" applyAlignment="1">
      <alignment vertical="center" wrapText="1"/>
    </xf>
    <xf numFmtId="166" fontId="131" fillId="42" borderId="13" xfId="0" applyNumberFormat="1" applyFont="1" applyFill="1" applyBorder="1" applyAlignment="1">
      <alignment horizontal="center" vertical="center" wrapText="1"/>
    </xf>
    <xf numFmtId="166" fontId="89" fillId="42" borderId="13" xfId="0" applyNumberFormat="1" applyFont="1" applyFill="1" applyBorder="1" applyAlignment="1">
      <alignment horizontal="center" vertical="center" wrapText="1"/>
    </xf>
    <xf numFmtId="166" fontId="114" fillId="42" borderId="13" xfId="0" applyNumberFormat="1" applyFont="1" applyFill="1" applyBorder="1" applyAlignment="1">
      <alignment horizontal="center" vertical="center" wrapText="1"/>
    </xf>
    <xf numFmtId="166" fontId="77" fillId="40" borderId="17" xfId="0" applyNumberFormat="1" applyFont="1" applyFill="1" applyBorder="1" applyAlignment="1">
      <alignment vertical="center"/>
    </xf>
    <xf numFmtId="166" fontId="77" fillId="35" borderId="17" xfId="0" applyNumberFormat="1" applyFont="1" applyFill="1" applyBorder="1" applyAlignment="1">
      <alignment vertical="center"/>
    </xf>
    <xf numFmtId="166" fontId="89" fillId="41" borderId="17" xfId="0" applyNumberFormat="1" applyFont="1" applyFill="1" applyBorder="1" applyAlignment="1">
      <alignment vertical="center" wrapText="1"/>
    </xf>
    <xf numFmtId="166" fontId="89" fillId="41" borderId="18" xfId="0" applyNumberFormat="1" applyFont="1" applyFill="1" applyBorder="1" applyAlignment="1">
      <alignment vertical="center" wrapText="1"/>
    </xf>
    <xf numFmtId="4" fontId="5" fillId="35" borderId="19" xfId="0" applyNumberFormat="1" applyFont="1" applyFill="1" applyBorder="1" applyAlignment="1">
      <alignment horizontal="right" vertical="center" wrapText="1" indent="1"/>
    </xf>
    <xf numFmtId="4" fontId="5" fillId="35" borderId="26" xfId="0" applyNumberFormat="1" applyFont="1" applyFill="1" applyBorder="1" applyAlignment="1">
      <alignment horizontal="right" vertical="center" wrapText="1" indent="1"/>
    </xf>
    <xf numFmtId="4" fontId="9" fillId="0" borderId="17" xfId="0" applyNumberFormat="1" applyFont="1" applyFill="1" applyBorder="1" applyAlignment="1">
      <alignment horizontal="right" vertical="center" wrapText="1" indent="1"/>
    </xf>
    <xf numFmtId="4" fontId="5" fillId="35" borderId="18" xfId="0" applyNumberFormat="1" applyFont="1" applyFill="1" applyBorder="1" applyAlignment="1">
      <alignment horizontal="right" vertical="center" wrapText="1" indent="1"/>
    </xf>
    <xf numFmtId="4" fontId="5" fillId="35" borderId="29" xfId="40" applyNumberFormat="1" applyFont="1" applyFill="1" applyBorder="1" applyAlignment="1">
      <alignment horizontal="right" vertical="center" wrapText="1" indent="1"/>
    </xf>
    <xf numFmtId="4" fontId="10" fillId="0" borderId="32" xfId="40" applyNumberFormat="1" applyFont="1" applyBorder="1" applyAlignment="1">
      <alignment horizontal="center" vertical="center" wrapText="1"/>
    </xf>
    <xf numFmtId="4" fontId="9" fillId="24" borderId="56" xfId="40" applyNumberFormat="1" applyFont="1" applyFill="1" applyBorder="1" applyAlignment="1">
      <alignment horizontal="right" vertical="center" wrapText="1" indent="1"/>
    </xf>
    <xf numFmtId="4" fontId="5" fillId="35" borderId="32" xfId="40" applyNumberFormat="1" applyFont="1" applyFill="1" applyBorder="1" applyAlignment="1">
      <alignment horizontal="right" vertical="center" wrapText="1" indent="1"/>
    </xf>
    <xf numFmtId="4" fontId="9" fillId="24" borderId="27" xfId="40" applyNumberFormat="1" applyFont="1" applyFill="1" applyBorder="1" applyAlignment="1">
      <alignment horizontal="right" vertical="center" wrapText="1" indent="1"/>
    </xf>
    <xf numFmtId="4" fontId="5" fillId="35" borderId="17" xfId="40" applyNumberFormat="1" applyFont="1" applyFill="1" applyBorder="1" applyAlignment="1">
      <alignment horizontal="right" vertical="center" wrapText="1" indent="1"/>
    </xf>
    <xf numFmtId="4" fontId="5" fillId="35" borderId="86" xfId="40" applyNumberFormat="1" applyFont="1" applyFill="1" applyBorder="1" applyAlignment="1">
      <alignment horizontal="right" vertical="center" wrapText="1" indent="1"/>
    </xf>
    <xf numFmtId="4" fontId="5" fillId="35" borderId="58" xfId="40" applyNumberFormat="1" applyFont="1" applyFill="1" applyBorder="1" applyAlignment="1">
      <alignment horizontal="right" vertical="center" wrapText="1" indent="1"/>
    </xf>
    <xf numFmtId="4" fontId="5" fillId="35" borderId="13" xfId="0" applyNumberFormat="1" applyFont="1" applyFill="1" applyBorder="1" applyAlignment="1">
      <alignment vertical="center" wrapText="1"/>
    </xf>
    <xf numFmtId="4" fontId="5" fillId="35" borderId="13" xfId="0" applyNumberFormat="1" applyFont="1" applyFill="1" applyBorder="1" applyAlignment="1">
      <alignment vertical="center"/>
    </xf>
    <xf numFmtId="4" fontId="9" fillId="24" borderId="13" xfId="0" applyNumberFormat="1" applyFont="1" applyFill="1" applyBorder="1" applyAlignment="1">
      <alignment vertical="center" wrapText="1"/>
    </xf>
    <xf numFmtId="4" fontId="5" fillId="35" borderId="13"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9" xfId="0" applyNumberFormat="1" applyFont="1" applyFill="1" applyBorder="1" applyAlignment="1">
      <alignment vertical="center" wrapText="1"/>
    </xf>
    <xf numFmtId="4" fontId="5" fillId="35" borderId="19" xfId="0" applyNumberFormat="1" applyFont="1" applyFill="1" applyBorder="1" applyAlignment="1">
      <alignment vertical="center" wrapText="1"/>
    </xf>
    <xf numFmtId="4" fontId="5" fillId="0" borderId="37" xfId="0" applyNumberFormat="1" applyFont="1" applyBorder="1" applyAlignment="1">
      <alignment vertical="center"/>
    </xf>
    <xf numFmtId="0" fontId="136" fillId="0" borderId="0" xfId="0" applyFont="1" applyAlignment="1">
      <alignment wrapText="1"/>
    </xf>
    <xf numFmtId="0" fontId="136" fillId="0" borderId="0" xfId="0" applyFont="1"/>
    <xf numFmtId="3" fontId="5" fillId="0" borderId="0" xfId="0" applyNumberFormat="1" applyFont="1" applyAlignment="1">
      <alignment vertical="center"/>
    </xf>
    <xf numFmtId="0" fontId="135" fillId="39" borderId="0" xfId="0" applyFont="1" applyFill="1" applyAlignment="1">
      <alignment vertical="center"/>
    </xf>
    <xf numFmtId="4" fontId="5" fillId="0" borderId="0" xfId="0" applyNumberFormat="1" applyFont="1"/>
    <xf numFmtId="4" fontId="5" fillId="0" borderId="23" xfId="0" applyNumberFormat="1" applyFont="1" applyBorder="1"/>
    <xf numFmtId="4" fontId="5" fillId="0" borderId="24" xfId="0" applyNumberFormat="1" applyFont="1" applyBorder="1"/>
    <xf numFmtId="4" fontId="5" fillId="0" borderId="15" xfId="0" applyNumberFormat="1" applyFont="1" applyBorder="1"/>
    <xf numFmtId="4" fontId="5" fillId="0" borderId="14" xfId="0" applyNumberFormat="1" applyFont="1" applyBorder="1"/>
    <xf numFmtId="4" fontId="5" fillId="0" borderId="21" xfId="0" applyNumberFormat="1" applyFont="1" applyBorder="1"/>
    <xf numFmtId="4" fontId="5" fillId="0" borderId="26" xfId="0" applyNumberFormat="1" applyFont="1" applyBorder="1"/>
    <xf numFmtId="4" fontId="4" fillId="24" borderId="30" xfId="0" applyNumberFormat="1" applyFont="1" applyFill="1" applyBorder="1" applyAlignment="1">
      <alignment horizontal="right" vertical="center" wrapText="1" indent="1"/>
    </xf>
    <xf numFmtId="4" fontId="4" fillId="24" borderId="47" xfId="0" applyNumberFormat="1" applyFont="1" applyFill="1" applyBorder="1" applyAlignment="1">
      <alignment horizontal="right" vertical="center" wrapText="1" indent="1"/>
    </xf>
    <xf numFmtId="4" fontId="4" fillId="24" borderId="55" xfId="0" applyNumberFormat="1" applyFont="1" applyFill="1" applyBorder="1" applyAlignment="1">
      <alignment horizontal="right" vertical="center" wrapText="1" indent="1"/>
    </xf>
    <xf numFmtId="49" fontId="31" fillId="35" borderId="14" xfId="42" applyNumberFormat="1" applyFont="1" applyFill="1" applyBorder="1" applyAlignment="1">
      <alignment horizontal="left" vertical="center" wrapText="1" indent="1"/>
    </xf>
    <xf numFmtId="4" fontId="10" fillId="0" borderId="0" xfId="0" applyNumberFormat="1" applyFont="1" applyAlignment="1">
      <alignment vertical="center" wrapText="1"/>
    </xf>
    <xf numFmtId="0" fontId="3" fillId="0" borderId="0" xfId="0" applyFont="1"/>
    <xf numFmtId="3" fontId="10" fillId="35" borderId="13" xfId="42" applyNumberFormat="1" applyFont="1" applyFill="1" applyBorder="1" applyAlignment="1"/>
    <xf numFmtId="3" fontId="10" fillId="35" borderId="27" xfId="42" applyNumberFormat="1" applyFont="1" applyFill="1" applyBorder="1" applyAlignment="1"/>
    <xf numFmtId="3" fontId="10" fillId="35" borderId="38" xfId="42" applyNumberFormat="1" applyFont="1" applyFill="1" applyBorder="1" applyAlignment="1"/>
    <xf numFmtId="3" fontId="10" fillId="35" borderId="17" xfId="42" applyNumberFormat="1" applyFont="1" applyFill="1" applyBorder="1" applyAlignment="1"/>
    <xf numFmtId="3" fontId="10" fillId="35" borderId="40" xfId="42" applyNumberFormat="1" applyFont="1" applyFill="1" applyBorder="1" applyAlignment="1"/>
    <xf numFmtId="3" fontId="10" fillId="35" borderId="41" xfId="42" applyNumberFormat="1" applyFont="1" applyFill="1" applyBorder="1" applyAlignment="1"/>
    <xf numFmtId="3" fontId="10" fillId="35" borderId="25" xfId="42" applyNumberFormat="1" applyFont="1" applyFill="1" applyBorder="1" applyAlignment="1"/>
    <xf numFmtId="3" fontId="10" fillId="35" borderId="42" xfId="42" applyNumberFormat="1" applyFont="1" applyFill="1" applyBorder="1" applyAlignment="1"/>
    <xf numFmtId="3" fontId="10" fillId="35" borderId="39" xfId="42" applyNumberFormat="1" applyFont="1" applyFill="1" applyBorder="1" applyAlignment="1"/>
    <xf numFmtId="3" fontId="20" fillId="0" borderId="0" xfId="42" applyNumberFormat="1"/>
    <xf numFmtId="4" fontId="5" fillId="0" borderId="0" xfId="0" applyNumberFormat="1" applyFont="1" applyAlignment="1">
      <alignment vertical="center"/>
    </xf>
    <xf numFmtId="3" fontId="9" fillId="24" borderId="20" xfId="0" applyNumberFormat="1" applyFont="1" applyFill="1" applyBorder="1" applyAlignment="1">
      <alignment horizontal="right" vertical="center" indent="1"/>
    </xf>
    <xf numFmtId="4" fontId="136" fillId="0" borderId="0" xfId="0" applyNumberFormat="1" applyFont="1"/>
    <xf numFmtId="4" fontId="137" fillId="0" borderId="0" xfId="0" applyNumberFormat="1" applyFont="1"/>
    <xf numFmtId="49" fontId="135" fillId="43" borderId="0" xfId="0" applyNumberFormat="1" applyFont="1" applyFill="1" applyAlignment="1">
      <alignment horizontal="left" vertical="top" wrapText="1"/>
    </xf>
    <xf numFmtId="166" fontId="77" fillId="49" borderId="13" xfId="0" applyNumberFormat="1" applyFont="1" applyFill="1" applyBorder="1" applyAlignment="1">
      <alignment vertical="top" wrapText="1"/>
    </xf>
    <xf numFmtId="49" fontId="135" fillId="37" borderId="0" xfId="0" applyNumberFormat="1" applyFont="1" applyFill="1" applyAlignment="1">
      <alignment horizontal="left" wrapText="1"/>
    </xf>
    <xf numFmtId="3" fontId="10" fillId="35" borderId="17" xfId="0" applyNumberFormat="1" applyFont="1" applyFill="1" applyBorder="1" applyAlignment="1">
      <alignment horizontal="right" vertical="center" wrapText="1" indent="1"/>
    </xf>
    <xf numFmtId="49" fontId="135" fillId="43" borderId="0" xfId="0" applyNumberFormat="1" applyFont="1" applyFill="1" applyAlignment="1">
      <alignment wrapText="1"/>
    </xf>
    <xf numFmtId="49" fontId="135" fillId="37" borderId="0" xfId="0" applyNumberFormat="1" applyFont="1" applyFill="1" applyAlignment="1">
      <alignment wrapText="1"/>
    </xf>
    <xf numFmtId="0" fontId="68" fillId="0" borderId="0" xfId="0" applyFont="1" applyFill="1" applyBorder="1"/>
    <xf numFmtId="4" fontId="68" fillId="0" borderId="0" xfId="0" applyNumberFormat="1" applyFont="1" applyFill="1" applyBorder="1" applyAlignment="1">
      <alignment vertical="center"/>
    </xf>
    <xf numFmtId="49" fontId="108" fillId="0" borderId="0" xfId="0" applyNumberFormat="1" applyFont="1" applyAlignment="1">
      <alignment wrapText="1"/>
    </xf>
    <xf numFmtId="0" fontId="139" fillId="0" borderId="0" xfId="0" applyFont="1" applyFill="1" applyBorder="1" applyAlignment="1">
      <alignment vertical="center"/>
    </xf>
    <xf numFmtId="4" fontId="140" fillId="0" borderId="0" xfId="0" applyNumberFormat="1" applyFont="1" applyFill="1" applyBorder="1" applyAlignment="1">
      <alignment vertical="center"/>
    </xf>
    <xf numFmtId="0" fontId="141" fillId="0" borderId="0" xfId="0" applyFont="1" applyFill="1" applyBorder="1" applyAlignment="1">
      <alignment horizontal="right" vertical="center"/>
    </xf>
    <xf numFmtId="4" fontId="141" fillId="0" borderId="0" xfId="0" applyNumberFormat="1" applyFont="1" applyFill="1" applyBorder="1"/>
    <xf numFmtId="0" fontId="142" fillId="0" borderId="0" xfId="0" applyFont="1" applyFill="1" applyBorder="1" applyAlignment="1">
      <alignment horizontal="right"/>
    </xf>
    <xf numFmtId="4" fontId="142" fillId="37" borderId="13" xfId="0" applyNumberFormat="1" applyFont="1" applyFill="1" applyBorder="1" applyAlignment="1">
      <alignment horizontal="right" vertical="center" wrapText="1" indent="1"/>
    </xf>
    <xf numFmtId="0" fontId="142" fillId="0" borderId="0" xfId="0" applyFont="1" applyAlignment="1">
      <alignment horizontal="left" vertical="center" wrapText="1"/>
    </xf>
    <xf numFmtId="49" fontId="142" fillId="37" borderId="0" xfId="0" applyNumberFormat="1" applyFont="1" applyFill="1" applyAlignment="1">
      <alignment wrapText="1"/>
    </xf>
    <xf numFmtId="4" fontId="135" fillId="0" borderId="0" xfId="0" applyNumberFormat="1" applyFont="1"/>
    <xf numFmtId="0" fontId="136" fillId="0" borderId="0" xfId="0" applyFont="1" applyAlignment="1">
      <alignment horizontal="right"/>
    </xf>
    <xf numFmtId="4" fontId="135" fillId="0" borderId="0" xfId="0" applyNumberFormat="1" applyFont="1" applyAlignment="1">
      <alignment horizontal="left"/>
    </xf>
    <xf numFmtId="4" fontId="104" fillId="0" borderId="0" xfId="41" applyNumberFormat="1"/>
    <xf numFmtId="4" fontId="5" fillId="35" borderId="20" xfId="0" applyNumberFormat="1" applyFont="1" applyFill="1" applyBorder="1" applyAlignment="1">
      <alignment horizontal="right" vertical="center" wrapText="1" indent="1"/>
    </xf>
    <xf numFmtId="4" fontId="5" fillId="24" borderId="13" xfId="0" applyNumberFormat="1" applyFont="1" applyFill="1" applyBorder="1" applyAlignment="1">
      <alignment horizontal="right" vertical="center" wrapText="1" indent="1"/>
    </xf>
    <xf numFmtId="4" fontId="5" fillId="24" borderId="17" xfId="0" applyNumberFormat="1" applyFont="1" applyFill="1" applyBorder="1" applyAlignment="1">
      <alignment horizontal="right" vertical="center" wrapText="1" indent="1"/>
    </xf>
    <xf numFmtId="4" fontId="5" fillId="0" borderId="17" xfId="0" applyNumberFormat="1" applyFont="1" applyFill="1" applyBorder="1" applyAlignment="1">
      <alignment horizontal="center" vertical="center" wrapText="1"/>
    </xf>
    <xf numFmtId="4" fontId="9" fillId="24" borderId="18" xfId="0" applyNumberFormat="1" applyFont="1" applyFill="1" applyBorder="1" applyAlignment="1">
      <alignment horizontal="right" vertical="center" wrapText="1" indent="1"/>
    </xf>
    <xf numFmtId="4" fontId="104" fillId="0" borderId="48" xfId="41" applyNumberFormat="1" applyBorder="1"/>
    <xf numFmtId="4" fontId="104" fillId="0" borderId="49" xfId="41" applyNumberFormat="1" applyBorder="1"/>
    <xf numFmtId="4" fontId="104" fillId="0" borderId="52" xfId="41" applyNumberFormat="1" applyBorder="1"/>
    <xf numFmtId="4" fontId="104" fillId="0" borderId="32" xfId="41" applyNumberFormat="1" applyBorder="1"/>
    <xf numFmtId="4" fontId="5" fillId="0" borderId="0" xfId="0" applyNumberFormat="1" applyFont="1" applyAlignment="1">
      <alignment vertical="center" wrapText="1"/>
    </xf>
    <xf numFmtId="4" fontId="9" fillId="0" borderId="13" xfId="0" applyNumberFormat="1" applyFont="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35" borderId="19" xfId="0" applyNumberFormat="1" applyFont="1" applyFill="1" applyBorder="1" applyAlignment="1">
      <alignment horizontal="right" vertical="center" wrapText="1" indent="1"/>
    </xf>
    <xf numFmtId="4" fontId="4" fillId="0" borderId="13"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5" fillId="0" borderId="13" xfId="0" applyNumberFormat="1" applyFont="1" applyFill="1" applyBorder="1" applyAlignment="1">
      <alignment horizontal="right" vertical="center" wrapText="1" indent="1"/>
    </xf>
    <xf numFmtId="4" fontId="4" fillId="0" borderId="14" xfId="0" applyNumberFormat="1" applyFont="1" applyFill="1" applyBorder="1" applyAlignment="1">
      <alignment horizontal="right" vertical="center" wrapText="1" indent="1"/>
    </xf>
    <xf numFmtId="4" fontId="5" fillId="0" borderId="19" xfId="0" applyNumberFormat="1" applyFont="1" applyFill="1" applyBorder="1" applyAlignment="1">
      <alignment horizontal="right" vertical="center" wrapText="1" indent="1"/>
    </xf>
    <xf numFmtId="4" fontId="9" fillId="24" borderId="19" xfId="0" applyNumberFormat="1" applyFont="1" applyFill="1" applyBorder="1" applyAlignment="1">
      <alignment horizontal="right" vertical="center" wrapText="1" indent="1"/>
    </xf>
    <xf numFmtId="4" fontId="5" fillId="0" borderId="0" xfId="0" applyNumberFormat="1" applyFont="1" applyBorder="1" applyAlignment="1">
      <alignment vertical="center" wrapText="1"/>
    </xf>
    <xf numFmtId="4" fontId="5" fillId="0" borderId="0" xfId="0" applyNumberFormat="1" applyFont="1" applyAlignment="1">
      <alignment horizontal="center" vertical="center"/>
    </xf>
    <xf numFmtId="4" fontId="5" fillId="0" borderId="0" xfId="0" applyNumberFormat="1" applyFont="1" applyAlignment="1">
      <alignment vertical="top" wrapText="1"/>
    </xf>
    <xf numFmtId="4" fontId="5" fillId="0" borderId="0" xfId="0" applyNumberFormat="1" applyFont="1" applyAlignment="1">
      <alignment horizontal="left" vertical="center" wrapText="1"/>
    </xf>
    <xf numFmtId="4" fontId="5" fillId="0" borderId="0" xfId="0" applyNumberFormat="1" applyFont="1" applyBorder="1"/>
    <xf numFmtId="4" fontId="4" fillId="0" borderId="0" xfId="0" applyNumberFormat="1" applyFont="1" applyBorder="1" applyAlignment="1">
      <alignment horizontal="center" vertical="center"/>
    </xf>
    <xf numFmtId="4" fontId="77" fillId="0" borderId="14" xfId="0" applyNumberFormat="1" applyFont="1" applyFill="1" applyBorder="1" applyAlignment="1">
      <alignment horizontal="center" vertical="center" wrapText="1"/>
    </xf>
    <xf numFmtId="4" fontId="5" fillId="0" borderId="0" xfId="0" applyNumberFormat="1" applyFont="1" applyBorder="1" applyAlignment="1">
      <alignment wrapText="1"/>
    </xf>
    <xf numFmtId="4" fontId="9" fillId="24" borderId="82" xfId="0" applyNumberFormat="1" applyFont="1" applyFill="1" applyBorder="1" applyAlignment="1">
      <alignment horizontal="right" vertical="center" wrapText="1" indent="1"/>
    </xf>
    <xf numFmtId="4" fontId="9" fillId="24" borderId="53" xfId="0" applyNumberFormat="1" applyFont="1" applyFill="1" applyBorder="1" applyAlignment="1">
      <alignment horizontal="right" vertical="center" wrapText="1" indent="1"/>
    </xf>
    <xf numFmtId="4" fontId="129" fillId="0" borderId="29" xfId="0" applyNumberFormat="1" applyFont="1" applyBorder="1" applyAlignment="1">
      <alignment horizontal="center"/>
    </xf>
    <xf numFmtId="4" fontId="11" fillId="0" borderId="0" xfId="0" applyNumberFormat="1" applyFont="1" applyBorder="1"/>
    <xf numFmtId="4" fontId="5" fillId="0" borderId="0" xfId="0" applyNumberFormat="1" applyFont="1" applyBorder="1" applyAlignment="1">
      <alignment horizontal="center" vertical="center" wrapText="1"/>
    </xf>
    <xf numFmtId="0" fontId="117" fillId="0" borderId="0" xfId="0" applyFont="1" applyBorder="1" applyAlignment="1">
      <alignment horizontal="center" vertical="center"/>
    </xf>
    <xf numFmtId="4" fontId="117" fillId="0" borderId="0" xfId="0" applyNumberFormat="1" applyFont="1" applyBorder="1" applyAlignment="1">
      <alignment horizontal="center" vertical="center"/>
    </xf>
    <xf numFmtId="4" fontId="143" fillId="0" borderId="0" xfId="0" applyNumberFormat="1" applyFont="1" applyBorder="1" applyAlignment="1">
      <alignment horizontal="left" vertical="center"/>
    </xf>
    <xf numFmtId="0" fontId="143" fillId="0" borderId="0" xfId="0" applyFont="1" applyBorder="1" applyAlignment="1">
      <alignment horizontal="left" vertical="center"/>
    </xf>
    <xf numFmtId="4" fontId="4" fillId="0" borderId="13" xfId="0" applyNumberFormat="1" applyFont="1" applyBorder="1" applyAlignment="1">
      <alignment horizontal="center" vertical="center" wrapText="1"/>
    </xf>
    <xf numFmtId="0" fontId="5" fillId="0" borderId="19" xfId="0" applyFont="1" applyBorder="1" applyAlignment="1">
      <alignment horizontal="left" vertical="top" wrapText="1" indent="1"/>
    </xf>
    <xf numFmtId="4" fontId="4" fillId="0" borderId="14" xfId="0" applyNumberFormat="1" applyFont="1" applyFill="1" applyBorder="1" applyAlignment="1">
      <alignment horizontal="center" vertical="center" wrapText="1"/>
    </xf>
    <xf numFmtId="4" fontId="11" fillId="0" borderId="0" xfId="0" applyNumberFormat="1" applyFont="1"/>
    <xf numFmtId="4" fontId="4" fillId="0" borderId="0" xfId="0" applyNumberFormat="1" applyFont="1"/>
    <xf numFmtId="4" fontId="9" fillId="0" borderId="14" xfId="0" applyNumberFormat="1" applyFont="1" applyBorder="1" applyAlignment="1">
      <alignment horizontal="center" vertical="center" wrapText="1"/>
    </xf>
    <xf numFmtId="4" fontId="10" fillId="38" borderId="13" xfId="0" applyNumberFormat="1" applyFont="1" applyFill="1" applyBorder="1" applyAlignment="1">
      <alignment horizontal="right" vertical="center" wrapText="1" indent="1"/>
    </xf>
    <xf numFmtId="4" fontId="10" fillId="24" borderId="14" xfId="0" applyNumberFormat="1" applyFont="1" applyFill="1" applyBorder="1" applyAlignment="1">
      <alignment horizontal="right" vertical="center" wrapText="1" indent="1"/>
    </xf>
    <xf numFmtId="4" fontId="33" fillId="0" borderId="0" xfId="0" applyNumberFormat="1" applyFont="1" applyBorder="1" applyAlignment="1">
      <alignment vertical="center" wrapText="1"/>
    </xf>
    <xf numFmtId="169" fontId="9" fillId="24" borderId="13" xfId="0" applyNumberFormat="1" applyFont="1" applyFill="1" applyBorder="1" applyAlignment="1">
      <alignment horizontal="right" vertical="center" wrapText="1" indent="1"/>
    </xf>
    <xf numFmtId="169" fontId="5" fillId="35" borderId="13" xfId="27" applyNumberFormat="1" applyFont="1" applyFill="1" applyBorder="1" applyAlignment="1">
      <alignment horizontal="right" vertical="center" wrapText="1" indent="1"/>
    </xf>
    <xf numFmtId="3" fontId="5" fillId="35" borderId="13" xfId="27" applyNumberFormat="1" applyFont="1" applyFill="1" applyBorder="1" applyAlignment="1">
      <alignment horizontal="right" vertical="center" wrapText="1" indent="1"/>
    </xf>
    <xf numFmtId="169" fontId="5" fillId="37" borderId="13" xfId="27" applyNumberFormat="1" applyFont="1" applyFill="1" applyBorder="1" applyAlignment="1">
      <alignment horizontal="right" vertical="center" wrapText="1" indent="1"/>
    </xf>
    <xf numFmtId="169" fontId="9" fillId="37" borderId="13" xfId="0" applyNumberFormat="1" applyFont="1" applyFill="1" applyBorder="1" applyAlignment="1">
      <alignment horizontal="right" vertical="center" wrapText="1" indent="1"/>
    </xf>
    <xf numFmtId="3" fontId="5" fillId="37" borderId="13" xfId="27" applyNumberFormat="1" applyFont="1" applyFill="1" applyBorder="1" applyAlignment="1">
      <alignment horizontal="right" vertical="center" wrapText="1" indent="1"/>
    </xf>
    <xf numFmtId="170" fontId="5" fillId="35" borderId="13" xfId="27" applyNumberFormat="1" applyFont="1" applyFill="1" applyBorder="1" applyAlignment="1">
      <alignment horizontal="right" vertical="center" wrapText="1" indent="1"/>
    </xf>
    <xf numFmtId="169" fontId="9" fillId="24" borderId="17" xfId="0" applyNumberFormat="1" applyFont="1" applyFill="1" applyBorder="1" applyAlignment="1">
      <alignment horizontal="right" vertical="center" wrapText="1" indent="1"/>
    </xf>
    <xf numFmtId="4" fontId="108" fillId="0" borderId="0" xfId="0" applyNumberFormat="1" applyFont="1" applyAlignment="1">
      <alignment vertical="center" wrapText="1"/>
    </xf>
    <xf numFmtId="4" fontId="108" fillId="0" borderId="0" xfId="0" applyNumberFormat="1" applyFont="1" applyAlignment="1">
      <alignment vertical="center"/>
    </xf>
    <xf numFmtId="4" fontId="31" fillId="0" borderId="0" xfId="0" applyNumberFormat="1" applyFont="1" applyBorder="1" applyAlignment="1">
      <alignment horizontal="left"/>
    </xf>
    <xf numFmtId="4" fontId="108" fillId="35" borderId="13" xfId="0" applyNumberFormat="1" applyFont="1" applyFill="1" applyBorder="1" applyAlignment="1">
      <alignment horizontal="right" vertical="center" wrapText="1"/>
    </xf>
    <xf numFmtId="4" fontId="108" fillId="35" borderId="13" xfId="0" applyNumberFormat="1" applyFont="1" applyFill="1" applyBorder="1" applyAlignment="1">
      <alignment horizontal="right" vertical="center" wrapText="1" indent="1"/>
    </xf>
    <xf numFmtId="0" fontId="10" fillId="0" borderId="0" xfId="92" applyFont="1"/>
    <xf numFmtId="4" fontId="5" fillId="37" borderId="0" xfId="0" applyNumberFormat="1" applyFont="1" applyFill="1" applyAlignment="1"/>
    <xf numFmtId="4" fontId="5" fillId="37" borderId="0" xfId="0" applyNumberFormat="1" applyFont="1" applyFill="1"/>
    <xf numFmtId="4" fontId="108" fillId="0" borderId="0" xfId="0" applyNumberFormat="1" applyFont="1"/>
    <xf numFmtId="4" fontId="117" fillId="0" borderId="0" xfId="0" applyNumberFormat="1" applyFont="1"/>
    <xf numFmtId="4" fontId="5" fillId="0" borderId="0" xfId="0" applyNumberFormat="1" applyFont="1" applyAlignment="1"/>
    <xf numFmtId="4" fontId="117" fillId="0" borderId="0" xfId="0" applyNumberFormat="1" applyFont="1" applyAlignment="1"/>
    <xf numFmtId="0" fontId="144" fillId="0" borderId="0" xfId="0" applyFont="1"/>
    <xf numFmtId="3" fontId="20" fillId="0" borderId="0" xfId="42" applyNumberFormat="1" applyProtection="1"/>
    <xf numFmtId="3" fontId="10" fillId="0" borderId="0" xfId="0" applyNumberFormat="1" applyFont="1"/>
    <xf numFmtId="49" fontId="68" fillId="43" borderId="0" xfId="0" applyNumberFormat="1" applyFont="1" applyFill="1" applyAlignment="1">
      <alignment horizontal="left" wrapText="1"/>
    </xf>
    <xf numFmtId="0" fontId="5" fillId="43" borderId="0" xfId="0" applyFont="1" applyFill="1"/>
    <xf numFmtId="0" fontId="0" fillId="0" borderId="0" xfId="0" applyBorder="1" applyAlignment="1"/>
    <xf numFmtId="0" fontId="110" fillId="0" borderId="12" xfId="0" applyFont="1" applyBorder="1" applyAlignment="1"/>
    <xf numFmtId="0" fontId="3" fillId="0" borderId="0" xfId="0" applyFont="1" applyBorder="1"/>
    <xf numFmtId="4" fontId="5" fillId="0" borderId="0" xfId="0" applyNumberFormat="1" applyFont="1" applyFill="1" applyBorder="1"/>
    <xf numFmtId="4" fontId="26" fillId="0" borderId="0" xfId="0" applyNumberFormat="1" applyFont="1" applyFill="1" applyBorder="1" applyAlignment="1">
      <alignment vertical="center"/>
    </xf>
    <xf numFmtId="4" fontId="10" fillId="0" borderId="17" xfId="0" applyNumberFormat="1" applyFont="1" applyFill="1" applyBorder="1" applyAlignment="1">
      <alignment horizontal="right" vertical="center" wrapText="1" indent="1"/>
    </xf>
    <xf numFmtId="0" fontId="108" fillId="0" borderId="0" xfId="0" applyFont="1" applyAlignment="1">
      <alignment horizontal="center" vertical="center" wrapText="1"/>
    </xf>
    <xf numFmtId="0" fontId="147" fillId="0" borderId="0" xfId="0" applyFont="1"/>
    <xf numFmtId="4" fontId="31" fillId="0" borderId="0" xfId="0" applyNumberFormat="1" applyFont="1" applyBorder="1" applyAlignment="1">
      <alignment horizontal="left" vertical="center"/>
    </xf>
    <xf numFmtId="49" fontId="5" fillId="50" borderId="0" xfId="0" applyNumberFormat="1" applyFont="1" applyFill="1" applyAlignment="1">
      <alignment horizontal="left" wrapText="1" inden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105" fillId="0" borderId="29" xfId="41"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3" fillId="0" borderId="0" xfId="92" applyFont="1" applyAlignment="1">
      <alignment horizontal="center" vertical="center" wrapText="1"/>
    </xf>
    <xf numFmtId="0" fontId="148" fillId="0" borderId="0" xfId="98"/>
    <xf numFmtId="0" fontId="1" fillId="0" borderId="0" xfId="99"/>
    <xf numFmtId="0" fontId="4" fillId="0" borderId="15" xfId="92" applyFont="1" applyBorder="1" applyAlignment="1">
      <alignment horizontal="center" vertical="center" wrapText="1"/>
    </xf>
    <xf numFmtId="49" fontId="4" fillId="0" borderId="13" xfId="92" applyNumberFormat="1" applyFont="1" applyBorder="1" applyAlignment="1">
      <alignment horizontal="center" vertical="center" wrapText="1"/>
    </xf>
    <xf numFmtId="0" fontId="4" fillId="0" borderId="13" xfId="92" applyFont="1" applyBorder="1" applyAlignment="1">
      <alignment horizontal="center" vertical="center" wrapText="1"/>
    </xf>
    <xf numFmtId="0" fontId="4" fillId="0" borderId="14" xfId="92" applyFont="1" applyBorder="1" applyAlignment="1">
      <alignment horizontal="center" vertical="center" wrapText="1"/>
    </xf>
    <xf numFmtId="0" fontId="5" fillId="0" borderId="15" xfId="92" applyFont="1" applyBorder="1" applyAlignment="1">
      <alignment horizontal="center" wrapText="1"/>
    </xf>
    <xf numFmtId="49" fontId="4" fillId="0" borderId="13" xfId="92" applyNumberFormat="1" applyFont="1" applyBorder="1" applyAlignment="1">
      <alignment vertical="top" wrapText="1"/>
    </xf>
    <xf numFmtId="3" fontId="5" fillId="0" borderId="13" xfId="92" applyNumberFormat="1" applyFont="1" applyFill="1" applyBorder="1" applyAlignment="1">
      <alignment horizontal="center" wrapText="1"/>
    </xf>
    <xf numFmtId="3" fontId="5" fillId="0" borderId="38" xfId="92" applyNumberFormat="1" applyFont="1" applyFill="1" applyBorder="1" applyAlignment="1">
      <alignment horizontal="center" wrapText="1"/>
    </xf>
    <xf numFmtId="0" fontId="5" fillId="0" borderId="15" xfId="92" applyFont="1" applyBorder="1" applyAlignment="1">
      <alignment horizontal="center" vertical="center" wrapText="1"/>
    </xf>
    <xf numFmtId="49" fontId="4" fillId="0" borderId="13" xfId="92" applyNumberFormat="1" applyFont="1" applyBorder="1" applyAlignment="1">
      <alignment horizontal="left" vertical="center" wrapText="1" indent="1"/>
    </xf>
    <xf numFmtId="4" fontId="9" fillId="24" borderId="13" xfId="92" applyNumberFormat="1" applyFont="1" applyFill="1" applyBorder="1" applyAlignment="1">
      <alignment horizontal="right" vertical="center" wrapText="1" indent="1"/>
    </xf>
    <xf numFmtId="4" fontId="9" fillId="24" borderId="38" xfId="92" applyNumberFormat="1" applyFont="1" applyFill="1" applyBorder="1" applyAlignment="1">
      <alignment horizontal="right" vertical="center" wrapText="1" indent="1"/>
    </xf>
    <xf numFmtId="49" fontId="5" fillId="0" borderId="13" xfId="92" applyNumberFormat="1" applyFont="1" applyBorder="1" applyAlignment="1">
      <alignment horizontal="left" vertical="center" wrapText="1" indent="1"/>
    </xf>
    <xf numFmtId="4" fontId="5" fillId="35" borderId="13" xfId="92" applyNumberFormat="1" applyFont="1" applyFill="1" applyBorder="1" applyAlignment="1">
      <alignment horizontal="right" vertical="center" wrapText="1" indent="1"/>
    </xf>
    <xf numFmtId="4" fontId="5" fillId="35" borderId="38" xfId="92" applyNumberFormat="1" applyFont="1" applyFill="1" applyBorder="1" applyAlignment="1">
      <alignment horizontal="right" vertical="center" wrapText="1" indent="1"/>
    </xf>
    <xf numFmtId="4" fontId="5" fillId="24" borderId="13" xfId="92" applyNumberFormat="1" applyFont="1" applyFill="1" applyBorder="1" applyAlignment="1">
      <alignment horizontal="right" vertical="center" wrapText="1" indent="1"/>
    </xf>
    <xf numFmtId="4" fontId="5" fillId="24" borderId="38" xfId="92" applyNumberFormat="1" applyFont="1" applyFill="1" applyBorder="1" applyAlignment="1">
      <alignment horizontal="right" vertical="center" wrapText="1" indent="1"/>
    </xf>
    <xf numFmtId="4" fontId="9" fillId="35" borderId="13" xfId="92" applyNumberFormat="1" applyFont="1" applyFill="1" applyBorder="1" applyAlignment="1">
      <alignment horizontal="right" vertical="center" wrapText="1" indent="1"/>
    </xf>
    <xf numFmtId="4" fontId="9" fillId="35" borderId="38" xfId="92" applyNumberFormat="1" applyFont="1" applyFill="1" applyBorder="1" applyAlignment="1">
      <alignment horizontal="right" vertical="center" wrapText="1" indent="1"/>
    </xf>
    <xf numFmtId="49" fontId="10" fillId="0" borderId="13" xfId="92" applyNumberFormat="1" applyFont="1" applyBorder="1" applyAlignment="1">
      <alignment horizontal="left" vertical="center" wrapText="1" indent="1"/>
    </xf>
    <xf numFmtId="4" fontId="5" fillId="0" borderId="13" xfId="92" applyNumberFormat="1" applyFont="1" applyFill="1" applyBorder="1" applyAlignment="1">
      <alignment horizontal="right" vertical="center" wrapText="1" indent="1"/>
    </xf>
    <xf numFmtId="4" fontId="5" fillId="0" borderId="38" xfId="92" applyNumberFormat="1" applyFont="1" applyFill="1" applyBorder="1" applyAlignment="1">
      <alignment horizontal="right" vertical="center" wrapText="1" indent="1"/>
    </xf>
    <xf numFmtId="0" fontId="5" fillId="0" borderId="0" xfId="92" applyFont="1" applyFill="1" applyAlignment="1">
      <alignment horizontal="center"/>
    </xf>
    <xf numFmtId="0" fontId="5" fillId="0" borderId="0" xfId="92" applyFont="1" applyFill="1"/>
    <xf numFmtId="49" fontId="5" fillId="0" borderId="13" xfId="92" applyNumberFormat="1" applyFont="1" applyFill="1" applyBorder="1" applyAlignment="1">
      <alignment horizontal="left" vertical="center" wrapText="1" indent="1"/>
    </xf>
    <xf numFmtId="0" fontId="5" fillId="0" borderId="15" xfId="92" applyFont="1" applyFill="1" applyBorder="1" applyAlignment="1">
      <alignment horizontal="center" vertical="center" wrapText="1"/>
    </xf>
    <xf numFmtId="49" fontId="10" fillId="36" borderId="13" xfId="92" applyNumberFormat="1" applyFont="1" applyFill="1" applyBorder="1" applyAlignment="1">
      <alignment horizontal="left" vertical="center" wrapText="1" indent="1"/>
    </xf>
    <xf numFmtId="4" fontId="10" fillId="35" borderId="38" xfId="92" applyNumberFormat="1" applyFont="1" applyFill="1" applyBorder="1" applyAlignment="1">
      <alignment horizontal="right" vertical="center" wrapText="1" indent="1"/>
    </xf>
    <xf numFmtId="0" fontId="5" fillId="0" borderId="16" xfId="92" applyFont="1" applyFill="1" applyBorder="1" applyAlignment="1">
      <alignment horizontal="center" vertical="center" wrapText="1"/>
    </xf>
    <xf numFmtId="49" fontId="4" fillId="0" borderId="17" xfId="92" applyNumberFormat="1" applyFont="1" applyBorder="1" applyAlignment="1">
      <alignment horizontal="left" vertical="center" wrapText="1" indent="1"/>
    </xf>
    <xf numFmtId="4" fontId="9" fillId="24" borderId="17" xfId="92" applyNumberFormat="1" applyFont="1" applyFill="1" applyBorder="1" applyAlignment="1">
      <alignment horizontal="right" vertical="center" wrapText="1" indent="1"/>
    </xf>
    <xf numFmtId="4" fontId="9" fillId="24" borderId="40" xfId="92" applyNumberFormat="1" applyFont="1" applyFill="1" applyBorder="1" applyAlignment="1">
      <alignment horizontal="right" vertical="center" wrapText="1" indent="1"/>
    </xf>
    <xf numFmtId="0" fontId="5" fillId="0" borderId="0" xfId="92" applyFont="1" applyFill="1" applyBorder="1" applyAlignment="1">
      <alignment horizontal="center" vertical="center" wrapText="1"/>
    </xf>
    <xf numFmtId="49" fontId="4" fillId="0" borderId="0" xfId="92" applyNumberFormat="1" applyFont="1" applyFill="1" applyBorder="1" applyAlignment="1">
      <alignment horizontal="left" vertical="top" wrapText="1" indent="1"/>
    </xf>
    <xf numFmtId="3" fontId="9" fillId="0" borderId="0" xfId="92" applyNumberFormat="1" applyFont="1" applyFill="1" applyBorder="1" applyAlignment="1">
      <alignment horizontal="right" vertical="center" wrapText="1" indent="1"/>
    </xf>
    <xf numFmtId="0" fontId="10" fillId="0" borderId="0" xfId="92" applyFont="1" applyAlignment="1">
      <alignment horizontal="center"/>
    </xf>
    <xf numFmtId="49" fontId="10" fillId="0" borderId="0" xfId="92" applyNumberFormat="1" applyFont="1"/>
    <xf numFmtId="3" fontId="10" fillId="38" borderId="13" xfId="0" applyNumberFormat="1" applyFont="1" applyFill="1" applyBorder="1" applyAlignment="1">
      <alignment horizontal="right" vertical="center" wrapText="1" indent="1"/>
    </xf>
    <xf numFmtId="4" fontId="10" fillId="38" borderId="14" xfId="0" applyNumberFormat="1" applyFont="1" applyFill="1" applyBorder="1" applyAlignment="1">
      <alignment horizontal="right" vertical="center" wrapText="1" indent="1"/>
    </xf>
    <xf numFmtId="166" fontId="77" fillId="38" borderId="13" xfId="0" applyNumberFormat="1" applyFont="1" applyFill="1" applyBorder="1" applyAlignment="1">
      <alignment vertical="center" wrapText="1"/>
    </xf>
    <xf numFmtId="4" fontId="5" fillId="37" borderId="0" xfId="0" applyNumberFormat="1" applyFont="1" applyFill="1" applyBorder="1"/>
    <xf numFmtId="0" fontId="5" fillId="37" borderId="0" xfId="0" applyFont="1" applyFill="1" applyBorder="1"/>
    <xf numFmtId="4" fontId="9" fillId="51" borderId="14" xfId="0" applyNumberFormat="1" applyFont="1" applyFill="1" applyBorder="1" applyAlignment="1">
      <alignment horizontal="right" vertical="center" wrapText="1" indent="1"/>
    </xf>
    <xf numFmtId="4" fontId="9" fillId="51" borderId="13" xfId="0" applyNumberFormat="1" applyFont="1" applyFill="1" applyBorder="1" applyAlignment="1">
      <alignment horizontal="right" vertical="center" wrapText="1" indent="1"/>
    </xf>
    <xf numFmtId="4" fontId="5" fillId="38" borderId="56" xfId="40" applyNumberFormat="1" applyFont="1" applyFill="1" applyBorder="1" applyAlignment="1">
      <alignment horizontal="right" vertical="center" wrapText="1" indent="1"/>
    </xf>
    <xf numFmtId="0" fontId="10" fillId="0" borderId="54" xfId="0" applyFont="1" applyBorder="1" applyAlignment="1">
      <alignment wrapText="1"/>
    </xf>
    <xf numFmtId="0" fontId="10" fillId="0" borderId="27" xfId="0" applyFont="1" applyBorder="1" applyAlignment="1">
      <alignment wrapText="1"/>
    </xf>
    <xf numFmtId="0" fontId="10" fillId="0" borderId="0" xfId="0" applyFont="1" applyBorder="1" applyAlignment="1">
      <alignment horizontal="left" wrapText="1"/>
    </xf>
    <xf numFmtId="0" fontId="10" fillId="0" borderId="51" xfId="0" applyFont="1" applyBorder="1" applyAlignment="1">
      <alignment horizontal="left" wrapText="1"/>
    </xf>
    <xf numFmtId="0" fontId="10" fillId="0" borderId="54" xfId="0" applyFont="1" applyBorder="1" applyAlignment="1">
      <alignment horizontal="left" wrapText="1"/>
    </xf>
    <xf numFmtId="0" fontId="10" fillId="0" borderId="27" xfId="0" applyFont="1" applyBorder="1" applyAlignment="1">
      <alignment horizontal="left" wrapText="1"/>
    </xf>
    <xf numFmtId="0" fontId="10" fillId="0" borderId="23" xfId="35" applyFont="1" applyBorder="1" applyAlignment="1" applyProtection="1">
      <alignment horizontal="left" vertical="center" indent="1"/>
    </xf>
    <xf numFmtId="0" fontId="10" fillId="0" borderId="65" xfId="35" applyFont="1" applyBorder="1" applyAlignment="1" applyProtection="1">
      <alignment horizontal="left" vertical="center" indent="1"/>
    </xf>
    <xf numFmtId="0" fontId="13" fillId="48" borderId="74" xfId="0" applyFont="1" applyFill="1" applyBorder="1" applyAlignment="1">
      <alignment horizontal="center" vertical="center" wrapText="1"/>
    </xf>
    <xf numFmtId="0" fontId="88" fillId="48" borderId="75" xfId="0" applyFont="1" applyFill="1" applyBorder="1" applyAlignment="1">
      <alignment horizontal="center" vertical="center" wrapText="1"/>
    </xf>
    <xf numFmtId="0" fontId="88" fillId="48" borderId="76"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71" xfId="0" applyFont="1" applyBorder="1" applyAlignment="1">
      <alignment horizontal="center" vertical="center"/>
    </xf>
    <xf numFmtId="0" fontId="13" fillId="0" borderId="62" xfId="0" applyFont="1" applyBorder="1" applyAlignment="1">
      <alignment horizontal="center" vertical="center"/>
    </xf>
    <xf numFmtId="0" fontId="13" fillId="0" borderId="64" xfId="0" applyFont="1" applyBorder="1" applyAlignment="1">
      <alignment horizontal="center" vertical="center"/>
    </xf>
    <xf numFmtId="0" fontId="6" fillId="0" borderId="30" xfId="0" applyFont="1" applyBorder="1" applyAlignment="1">
      <alignment horizontal="center" vertical="center" wrapText="1"/>
    </xf>
    <xf numFmtId="0" fontId="81" fillId="0" borderId="31" xfId="0" applyFont="1" applyBorder="1"/>
    <xf numFmtId="0" fontId="81" fillId="0" borderId="36" xfId="0" applyFont="1" applyBorder="1"/>
    <xf numFmtId="0" fontId="9" fillId="0" borderId="84" xfId="0" applyFont="1" applyBorder="1" applyAlignment="1">
      <alignment horizontal="left" vertical="center" wrapText="1" indent="1"/>
    </xf>
    <xf numFmtId="0" fontId="9" fillId="0" borderId="52" xfId="0" applyFont="1" applyBorder="1" applyAlignment="1">
      <alignment horizontal="left" vertical="center" wrapText="1" indent="1"/>
    </xf>
    <xf numFmtId="0" fontId="9" fillId="0" borderId="56" xfId="0" applyFont="1" applyBorder="1" applyAlignment="1">
      <alignment horizontal="left" vertical="center" wrapText="1" inden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49" fontId="108" fillId="0" borderId="35" xfId="0" applyNumberFormat="1" applyFont="1" applyBorder="1" applyAlignment="1">
      <alignment horizontal="left" wrapText="1"/>
    </xf>
    <xf numFmtId="49" fontId="108" fillId="0" borderId="48" xfId="0" applyNumberFormat="1" applyFont="1" applyBorder="1" applyAlignment="1">
      <alignment horizontal="left" wrapText="1"/>
    </xf>
    <xf numFmtId="49" fontId="108" fillId="0" borderId="49" xfId="0" applyNumberFormat="1" applyFont="1" applyBorder="1" applyAlignment="1">
      <alignment horizontal="left" wrapText="1"/>
    </xf>
    <xf numFmtId="49" fontId="5" fillId="0" borderId="37" xfId="0" applyNumberFormat="1" applyFont="1" applyBorder="1" applyAlignment="1">
      <alignment horizontal="left" wrapText="1"/>
    </xf>
    <xf numFmtId="49" fontId="5" fillId="0" borderId="52" xfId="0" applyNumberFormat="1" applyFont="1" applyBorder="1" applyAlignment="1">
      <alignment horizontal="left" wrapText="1"/>
    </xf>
    <xf numFmtId="49" fontId="5" fillId="0" borderId="32" xfId="0" applyNumberFormat="1" applyFont="1" applyBorder="1" applyAlignment="1">
      <alignment horizontal="left"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xf>
    <xf numFmtId="0" fontId="4"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8"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9" fillId="0" borderId="67" xfId="0" applyFont="1" applyBorder="1" applyAlignment="1">
      <alignment horizontal="left" vertical="center" wrapText="1" indent="1"/>
    </xf>
    <xf numFmtId="0" fontId="9" fillId="0" borderId="54"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77" xfId="0" applyFont="1" applyBorder="1" applyAlignment="1">
      <alignment horizontal="left" vertical="center" wrapText="1" indent="1"/>
    </xf>
    <xf numFmtId="0" fontId="4" fillId="0" borderId="21" xfId="0"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0" fontId="126" fillId="0" borderId="23" xfId="0" applyFont="1" applyBorder="1" applyAlignment="1">
      <alignment horizontal="center" vertical="center"/>
    </xf>
    <xf numFmtId="0" fontId="126" fillId="0" borderId="6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66" xfId="0" applyFont="1" applyBorder="1" applyAlignment="1">
      <alignment horizontal="center" vertical="center"/>
    </xf>
    <xf numFmtId="0" fontId="6" fillId="0" borderId="42" xfId="0" applyFont="1" applyBorder="1" applyAlignment="1">
      <alignment horizontal="center" vertical="center"/>
    </xf>
    <xf numFmtId="49" fontId="145" fillId="37" borderId="0" xfId="0" applyNumberFormat="1" applyFont="1" applyFill="1" applyAlignment="1">
      <alignment wrapText="1"/>
    </xf>
    <xf numFmtId="0" fontId="146" fillId="0" borderId="0" xfId="0" applyFont="1" applyAlignment="1"/>
    <xf numFmtId="49" fontId="10" fillId="37" borderId="0" xfId="0" applyNumberFormat="1" applyFont="1" applyFill="1" applyBorder="1" applyAlignment="1">
      <alignment horizontal="center" vertical="top" wrapText="1"/>
    </xf>
    <xf numFmtId="49" fontId="5" fillId="0" borderId="20"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9" fillId="0" borderId="66" xfId="0"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42" xfId="0" applyFont="1" applyBorder="1" applyAlignment="1">
      <alignment horizontal="left" vertical="center" wrapText="1" indent="1"/>
    </xf>
    <xf numFmtId="0" fontId="6" fillId="0" borderId="13" xfId="0" applyFont="1" applyBorder="1" applyAlignment="1">
      <alignment horizontal="center" vertical="center"/>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9" fillId="0" borderId="76" xfId="0" applyFont="1" applyBorder="1" applyAlignment="1">
      <alignment horizontal="left" vertical="center" wrapText="1" inden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80" xfId="0" applyNumberFormat="1" applyFont="1" applyBorder="1" applyAlignment="1">
      <alignment horizontal="center" vertical="center" wrapText="1"/>
    </xf>
    <xf numFmtId="0" fontId="6" fillId="0" borderId="41" xfId="0" applyFont="1" applyBorder="1" applyAlignment="1">
      <alignment horizontal="center" vertical="center"/>
    </xf>
    <xf numFmtId="0" fontId="6" fillId="0" borderId="25" xfId="0" applyFont="1" applyBorder="1" applyAlignment="1">
      <alignment horizontal="center" vertical="center"/>
    </xf>
    <xf numFmtId="0" fontId="6" fillId="0" borderId="65" xfId="0" applyFont="1" applyBorder="1" applyAlignment="1">
      <alignment horizontal="center" vertical="center"/>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20" xfId="0" applyNumberFormat="1" applyFont="1" applyBorder="1" applyAlignment="1">
      <alignment horizontal="left"/>
    </xf>
    <xf numFmtId="49" fontId="5" fillId="0" borderId="54" xfId="0" applyNumberFormat="1" applyFont="1" applyBorder="1" applyAlignment="1">
      <alignment horizontal="left"/>
    </xf>
    <xf numFmtId="49" fontId="5" fillId="0" borderId="27" xfId="0" applyNumberFormat="1" applyFont="1" applyBorder="1" applyAlignment="1">
      <alignment horizontal="left"/>
    </xf>
    <xf numFmtId="0" fontId="4" fillId="0" borderId="29" xfId="0" applyFont="1" applyBorder="1" applyAlignment="1">
      <alignment horizontal="center" vertical="center" wrapText="1"/>
    </xf>
    <xf numFmtId="0" fontId="4" fillId="36" borderId="29"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46"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22"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49" fontId="68" fillId="0" borderId="0" xfId="0" applyNumberFormat="1" applyFont="1" applyFill="1" applyBorder="1" applyAlignment="1">
      <alignment horizontal="center" vertical="top" wrapText="1"/>
    </xf>
    <xf numFmtId="0" fontId="109" fillId="0" borderId="0" xfId="0" applyFont="1" applyAlignment="1">
      <alignment horizontal="left" vertical="center" wrapText="1"/>
    </xf>
    <xf numFmtId="49" fontId="10" fillId="0" borderId="20" xfId="0" applyNumberFormat="1" applyFont="1" applyBorder="1" applyAlignment="1">
      <alignment horizontal="left"/>
    </xf>
    <xf numFmtId="49" fontId="10" fillId="0" borderId="54" xfId="0" applyNumberFormat="1" applyFont="1" applyBorder="1" applyAlignment="1">
      <alignment horizontal="left"/>
    </xf>
    <xf numFmtId="49" fontId="10" fillId="0" borderId="27" xfId="0" applyNumberFormat="1" applyFont="1" applyBorder="1" applyAlignment="1">
      <alignment horizontal="left"/>
    </xf>
    <xf numFmtId="0" fontId="117" fillId="0" borderId="61" xfId="40" applyFont="1" applyBorder="1" applyAlignment="1">
      <alignment horizontal="center" vertical="center" wrapText="1"/>
    </xf>
    <xf numFmtId="0" fontId="117" fillId="0" borderId="46" xfId="40" applyFont="1" applyBorder="1" applyAlignment="1">
      <alignment horizontal="center" vertical="center" wrapText="1"/>
    </xf>
    <xf numFmtId="0" fontId="117" fillId="0" borderId="12" xfId="40" applyFont="1" applyBorder="1" applyAlignment="1">
      <alignment horizontal="center" vertical="center" wrapText="1"/>
    </xf>
    <xf numFmtId="0" fontId="117" fillId="0" borderId="84" xfId="40" applyFont="1" applyBorder="1" applyAlignment="1">
      <alignment horizontal="center" vertical="center" wrapText="1"/>
    </xf>
    <xf numFmtId="0" fontId="9" fillId="0" borderId="71" xfId="41" applyFont="1" applyBorder="1" applyAlignment="1">
      <alignment horizontal="center" vertical="center"/>
    </xf>
    <xf numFmtId="0" fontId="9" fillId="0" borderId="62" xfId="41" applyFont="1" applyBorder="1" applyAlignment="1">
      <alignment horizontal="center" vertical="center"/>
    </xf>
    <xf numFmtId="0" fontId="9" fillId="0" borderId="64" xfId="41" applyFont="1" applyBorder="1" applyAlignment="1">
      <alignment horizontal="center" vertical="center"/>
    </xf>
    <xf numFmtId="0" fontId="105" fillId="0" borderId="26" xfId="41" applyFont="1" applyBorder="1" applyAlignment="1">
      <alignment horizontal="center" vertical="center" wrapText="1"/>
    </xf>
    <xf numFmtId="0" fontId="105" fillId="0" borderId="68" xfId="41" applyFont="1" applyBorder="1" applyAlignment="1">
      <alignment horizontal="center" vertical="center" wrapText="1"/>
    </xf>
    <xf numFmtId="0" fontId="105" fillId="0" borderId="34" xfId="41" applyFont="1" applyBorder="1" applyAlignment="1">
      <alignment horizontal="center" vertical="center" wrapText="1"/>
    </xf>
    <xf numFmtId="0" fontId="105" fillId="0" borderId="74" xfId="41" applyFont="1" applyBorder="1" applyAlignment="1">
      <alignment horizontal="left" vertical="center" wrapText="1" indent="1"/>
    </xf>
    <xf numFmtId="0" fontId="105" fillId="0" borderId="75" xfId="41" applyFont="1" applyBorder="1" applyAlignment="1">
      <alignment horizontal="left" vertical="center" wrapText="1" indent="1"/>
    </xf>
    <xf numFmtId="0" fontId="105" fillId="0" borderId="76" xfId="41" applyFont="1" applyBorder="1" applyAlignment="1">
      <alignment horizontal="left" vertical="center" wrapText="1" indent="1"/>
    </xf>
    <xf numFmtId="0" fontId="105" fillId="0" borderId="15" xfId="41" applyFont="1" applyBorder="1" applyAlignment="1">
      <alignment horizontal="center" vertical="center" wrapText="1"/>
    </xf>
    <xf numFmtId="0" fontId="105" fillId="0" borderId="19" xfId="41" applyFont="1" applyBorder="1" applyAlignment="1">
      <alignment horizontal="center" vertical="center"/>
    </xf>
    <xf numFmtId="0" fontId="105" fillId="0" borderId="69" xfId="41" applyFont="1" applyBorder="1" applyAlignment="1">
      <alignment horizontal="center" vertical="center"/>
    </xf>
    <xf numFmtId="0" fontId="105" fillId="0" borderId="29" xfId="41" applyFont="1" applyBorder="1" applyAlignment="1">
      <alignment horizontal="center" vertical="center"/>
    </xf>
    <xf numFmtId="0" fontId="9" fillId="0" borderId="20" xfId="41" applyFont="1" applyBorder="1" applyAlignment="1">
      <alignment horizontal="center" vertical="center" wrapText="1"/>
    </xf>
    <xf numFmtId="0" fontId="9" fillId="0" borderId="54" xfId="41" applyFont="1" applyBorder="1" applyAlignment="1">
      <alignment horizontal="center" vertical="center" wrapText="1"/>
    </xf>
    <xf numFmtId="0" fontId="105" fillId="0" borderId="20" xfId="41" applyFont="1" applyBorder="1" applyAlignment="1">
      <alignment horizontal="center" vertical="center"/>
    </xf>
    <xf numFmtId="0" fontId="105" fillId="0" borderId="27" xfId="41" applyFont="1" applyBorder="1" applyAlignment="1">
      <alignment horizontal="center" vertical="center"/>
    </xf>
    <xf numFmtId="0" fontId="9" fillId="47" borderId="19" xfId="41" applyFont="1" applyFill="1" applyBorder="1" applyAlignment="1">
      <alignment horizontal="center" vertical="center" wrapText="1"/>
    </xf>
    <xf numFmtId="0" fontId="9" fillId="47" borderId="69" xfId="41" applyFont="1" applyFill="1" applyBorder="1" applyAlignment="1">
      <alignment horizontal="center" vertical="center" wrapText="1"/>
    </xf>
    <xf numFmtId="0" fontId="9" fillId="47" borderId="29" xfId="41" applyFont="1" applyFill="1" applyBorder="1" applyAlignment="1">
      <alignment horizontal="center" vertical="center" wrapText="1"/>
    </xf>
    <xf numFmtId="0" fontId="9" fillId="39" borderId="19" xfId="41" applyFont="1" applyFill="1" applyBorder="1" applyAlignment="1">
      <alignment horizontal="center" vertical="center" wrapText="1"/>
    </xf>
    <xf numFmtId="0" fontId="9" fillId="39" borderId="69" xfId="41" applyFont="1" applyFill="1" applyBorder="1" applyAlignment="1">
      <alignment horizontal="center" vertical="center" wrapText="1"/>
    </xf>
    <xf numFmtId="0" fontId="9" fillId="39" borderId="29" xfId="41" applyFont="1" applyFill="1" applyBorder="1" applyAlignment="1">
      <alignment horizontal="center" vertical="center" wrapText="1"/>
    </xf>
    <xf numFmtId="0" fontId="26" fillId="0" borderId="35" xfId="0" applyFont="1" applyBorder="1" applyAlignment="1">
      <alignment horizontal="left" vertical="center"/>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37" xfId="0" applyFont="1" applyBorder="1" applyAlignment="1">
      <alignment horizontal="left" vertical="center"/>
    </xf>
    <xf numFmtId="0" fontId="26" fillId="0" borderId="52" xfId="0" applyFont="1" applyBorder="1" applyAlignment="1">
      <alignment horizontal="left" vertical="center"/>
    </xf>
    <xf numFmtId="0" fontId="26" fillId="0" borderId="32" xfId="0" applyFont="1" applyBorder="1" applyAlignment="1">
      <alignment horizontal="left" vertical="center"/>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8" xfId="0"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9" fillId="0" borderId="41" xfId="0" applyFont="1" applyBorder="1" applyAlignment="1">
      <alignment horizontal="left" vertical="center" wrapText="1" indent="1"/>
    </xf>
    <xf numFmtId="0" fontId="9" fillId="0" borderId="81" xfId="0" applyFont="1" applyBorder="1" applyAlignment="1">
      <alignment horizontal="center" vertical="center" wrapText="1"/>
    </xf>
    <xf numFmtId="0" fontId="9" fillId="0" borderId="42" xfId="0" applyFont="1" applyBorder="1" applyAlignment="1">
      <alignment horizontal="center" vertical="center" wrapText="1"/>
    </xf>
    <xf numFmtId="0" fontId="26" fillId="0" borderId="37" xfId="0" applyFont="1" applyBorder="1" applyAlignment="1">
      <alignment horizontal="left" vertical="center" wrapText="1"/>
    </xf>
    <xf numFmtId="0" fontId="26" fillId="0" borderId="52" xfId="0" applyFont="1" applyBorder="1" applyAlignment="1">
      <alignment horizontal="left" vertical="center" wrapText="1"/>
    </xf>
    <xf numFmtId="0" fontId="26" fillId="0" borderId="32" xfId="0" applyFont="1" applyBorder="1" applyAlignment="1">
      <alignment horizontal="left"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38" xfId="0" applyFont="1" applyBorder="1" applyAlignment="1">
      <alignment horizontal="left" vertical="center" wrapText="1" indent="1"/>
    </xf>
    <xf numFmtId="0" fontId="26" fillId="0" borderId="37" xfId="92" applyFont="1" applyBorder="1" applyAlignment="1">
      <alignment horizontal="left" vertical="center"/>
    </xf>
    <xf numFmtId="0" fontId="26" fillId="0" borderId="52" xfId="92" applyFont="1" applyBorder="1" applyAlignment="1">
      <alignment horizontal="left" vertical="center"/>
    </xf>
    <xf numFmtId="0" fontId="26" fillId="0" borderId="32" xfId="92" applyFont="1" applyBorder="1" applyAlignment="1">
      <alignment horizontal="left" vertical="center"/>
    </xf>
    <xf numFmtId="0" fontId="6" fillId="0" borderId="78" xfId="92" applyFont="1" applyBorder="1" applyAlignment="1">
      <alignment horizontal="center" vertical="center" wrapText="1"/>
    </xf>
    <xf numFmtId="0" fontId="6" fillId="0" borderId="79" xfId="92" applyFont="1" applyBorder="1" applyAlignment="1">
      <alignment horizontal="center" vertical="center"/>
    </xf>
    <xf numFmtId="0" fontId="6" fillId="0" borderId="80" xfId="92" applyFont="1" applyBorder="1" applyAlignment="1">
      <alignment horizontal="center" vertical="center"/>
    </xf>
    <xf numFmtId="0" fontId="9" fillId="0" borderId="23" xfId="92" applyFont="1" applyBorder="1" applyAlignment="1">
      <alignment horizontal="left" vertical="center" wrapText="1" indent="1"/>
    </xf>
    <xf numFmtId="0" fontId="9" fillId="0" borderId="25" xfId="92" applyFont="1" applyBorder="1" applyAlignment="1">
      <alignment horizontal="left" vertical="center" wrapText="1" indent="1"/>
    </xf>
    <xf numFmtId="0" fontId="9" fillId="0" borderId="24" xfId="92" applyFont="1" applyBorder="1" applyAlignment="1">
      <alignment horizontal="left" vertical="center" wrapText="1" indent="1"/>
    </xf>
    <xf numFmtId="0" fontId="26" fillId="0" borderId="35" xfId="92" applyFont="1" applyBorder="1" applyAlignment="1">
      <alignment horizontal="left" vertical="center"/>
    </xf>
    <xf numFmtId="0" fontId="26" fillId="0" borderId="48" xfId="92" applyFont="1" applyBorder="1" applyAlignment="1">
      <alignment horizontal="left" vertical="center"/>
    </xf>
    <xf numFmtId="0" fontId="26" fillId="0" borderId="49" xfId="92" applyFont="1" applyBorder="1" applyAlignment="1">
      <alignment horizontal="left" vertical="center"/>
    </xf>
    <xf numFmtId="0" fontId="26" fillId="36" borderId="50" xfId="92" applyFont="1" applyFill="1" applyBorder="1" applyAlignment="1">
      <alignment horizontal="left" vertical="center"/>
    </xf>
    <xf numFmtId="0" fontId="26" fillId="36" borderId="0" xfId="92" applyFont="1" applyFill="1" applyBorder="1" applyAlignment="1">
      <alignment horizontal="left" vertical="center"/>
    </xf>
    <xf numFmtId="0" fontId="26" fillId="36" borderId="51" xfId="92" applyFont="1" applyFill="1" applyBorder="1" applyAlignment="1">
      <alignment horizontal="left" vertical="center"/>
    </xf>
    <xf numFmtId="0" fontId="26" fillId="0" borderId="50" xfId="92" applyFont="1" applyBorder="1" applyAlignment="1">
      <alignment horizontal="left" vertical="center"/>
    </xf>
    <xf numFmtId="0" fontId="26" fillId="0" borderId="0" xfId="92" applyFont="1" applyBorder="1" applyAlignment="1">
      <alignment horizontal="left" vertical="center"/>
    </xf>
    <xf numFmtId="0" fontId="26" fillId="0" borderId="51" xfId="92" applyFont="1" applyBorder="1" applyAlignment="1">
      <alignment horizontal="lef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Fill="1" applyBorder="1" applyAlignment="1">
      <alignment horizontal="center" vertical="center" wrapText="1"/>
    </xf>
    <xf numFmtId="4" fontId="4" fillId="0" borderId="29"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36" borderId="34" xfId="0" applyNumberFormat="1" applyFont="1" applyFill="1" applyBorder="1" applyAlignment="1">
      <alignment horizontal="center" vertical="center" wrapText="1"/>
    </xf>
    <xf numFmtId="4" fontId="4" fillId="36" borderId="14" xfId="0" applyNumberFormat="1" applyFont="1" applyFill="1" applyBorder="1" applyAlignment="1">
      <alignment horizontal="center" vertical="center" wrapText="1"/>
    </xf>
    <xf numFmtId="0" fontId="6" fillId="0" borderId="7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4" xfId="0" applyFont="1" applyBorder="1" applyAlignment="1">
      <alignment horizontal="center" vertical="center" wrapText="1"/>
    </xf>
    <xf numFmtId="4" fontId="4" fillId="36" borderId="29" xfId="0" applyNumberFormat="1" applyFont="1" applyFill="1" applyBorder="1" applyAlignment="1">
      <alignment horizontal="center" vertical="center" wrapText="1"/>
    </xf>
    <xf numFmtId="4" fontId="4" fillId="36" borderId="13" xfId="0" applyNumberFormat="1" applyFont="1" applyFill="1" applyBorder="1" applyAlignment="1">
      <alignment horizontal="center" vertical="center" wrapText="1"/>
    </xf>
    <xf numFmtId="4" fontId="111" fillId="0" borderId="29" xfId="0" applyNumberFormat="1" applyFont="1" applyBorder="1" applyAlignment="1">
      <alignment horizontal="center" vertical="center" wrapText="1"/>
    </xf>
    <xf numFmtId="4" fontId="111" fillId="0" borderId="13" xfId="0" applyNumberFormat="1" applyFont="1" applyBorder="1" applyAlignment="1">
      <alignment horizontal="center" vertical="center" wrapText="1"/>
    </xf>
    <xf numFmtId="0" fontId="26" fillId="0" borderId="0" xfId="0" applyFont="1" applyFill="1" applyBorder="1" applyAlignment="1">
      <alignment horizontal="left" wrapText="1"/>
    </xf>
    <xf numFmtId="0" fontId="6" fillId="0" borderId="7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4" xfId="0" applyFont="1" applyFill="1" applyBorder="1" applyAlignment="1">
      <alignment horizontal="center" vertical="center"/>
    </xf>
    <xf numFmtId="0" fontId="9" fillId="0" borderId="66" xfId="0" applyFont="1" applyFill="1" applyBorder="1" applyAlignment="1">
      <alignment horizontal="left" vertical="center" wrapText="1" indent="1"/>
    </xf>
    <xf numFmtId="0" fontId="9" fillId="0" borderId="81" xfId="0" applyFont="1" applyFill="1" applyBorder="1" applyAlignment="1">
      <alignment horizontal="left" vertical="center" wrapText="1" indent="1"/>
    </xf>
    <xf numFmtId="0" fontId="9" fillId="0" borderId="75" xfId="0" applyFont="1" applyFill="1" applyBorder="1" applyAlignment="1">
      <alignment horizontal="left" vertical="center" wrapText="1" indent="1"/>
    </xf>
    <xf numFmtId="0" fontId="9" fillId="0" borderId="42" xfId="0" applyFont="1" applyFill="1" applyBorder="1" applyAlignment="1">
      <alignment horizontal="left" vertical="center" wrapText="1" indent="1"/>
    </xf>
    <xf numFmtId="0" fontId="89" fillId="0" borderId="15"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1"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49" fontId="108" fillId="0" borderId="0" xfId="0" applyNumberFormat="1" applyFont="1" applyAlignment="1">
      <alignment horizontal="center" wrapText="1"/>
    </xf>
    <xf numFmtId="49" fontId="135" fillId="43" borderId="0" xfId="0" applyNumberFormat="1" applyFont="1" applyFill="1" applyAlignment="1">
      <alignment horizontal="left" wrapText="1"/>
    </xf>
    <xf numFmtId="0" fontId="4" fillId="0" borderId="14" xfId="0" applyFont="1" applyFill="1" applyBorder="1" applyAlignment="1">
      <alignment horizontal="center" vertical="center" wrapText="1"/>
    </xf>
    <xf numFmtId="4" fontId="5" fillId="0" borderId="0" xfId="0" applyNumberFormat="1" applyFont="1" applyFill="1" applyBorder="1" applyAlignment="1">
      <alignment horizontal="center"/>
    </xf>
    <xf numFmtId="0" fontId="5" fillId="37" borderId="0" xfId="0" applyFont="1" applyFill="1" applyBorder="1" applyAlignment="1">
      <alignment horizontal="center" wrapText="1"/>
    </xf>
    <xf numFmtId="0" fontId="6" fillId="0" borderId="30" xfId="43" applyFont="1" applyBorder="1" applyAlignment="1">
      <alignment horizontal="center" vertical="center" wrapText="1"/>
    </xf>
    <xf numFmtId="0" fontId="6" fillId="0" borderId="31" xfId="43" applyFont="1" applyBorder="1" applyAlignment="1">
      <alignment horizontal="center" vertical="center" wrapText="1"/>
    </xf>
    <xf numFmtId="0" fontId="6" fillId="0" borderId="36" xfId="43" applyFont="1" applyBorder="1" applyAlignment="1">
      <alignment horizontal="center" vertic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4" fontId="5" fillId="0" borderId="0" xfId="0" applyNumberFormat="1" applyFont="1" applyFill="1" applyAlignment="1">
      <alignment horizontal="left" vertical="center" wrapText="1"/>
    </xf>
    <xf numFmtId="0" fontId="117" fillId="0" borderId="81" xfId="0" applyFont="1" applyBorder="1" applyAlignment="1">
      <alignment horizontal="center" vertical="center" wrapText="1"/>
    </xf>
    <xf numFmtId="0" fontId="117" fillId="0" borderId="42" xfId="0" applyFont="1" applyBorder="1" applyAlignment="1">
      <alignment horizontal="center" vertical="center" wrapText="1"/>
    </xf>
    <xf numFmtId="0" fontId="122" fillId="0" borderId="48" xfId="0" applyFont="1" applyBorder="1" applyAlignment="1">
      <alignment horizontal="left" vertical="center" wrapText="1"/>
    </xf>
    <xf numFmtId="0" fontId="31" fillId="0" borderId="35"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37" xfId="0" applyFont="1" applyBorder="1" applyAlignment="1">
      <alignment horizontal="left" vertical="center"/>
    </xf>
    <xf numFmtId="0" fontId="31" fillId="0" borderId="52" xfId="0" applyFont="1" applyBorder="1" applyAlignment="1">
      <alignment horizontal="left" vertical="center"/>
    </xf>
    <xf numFmtId="0" fontId="31" fillId="0" borderId="32" xfId="0" applyFont="1" applyBorder="1" applyAlignment="1">
      <alignment horizontal="left" vertical="center"/>
    </xf>
    <xf numFmtId="0" fontId="6" fillId="0" borderId="78" xfId="40" applyFont="1" applyBorder="1" applyAlignment="1">
      <alignment horizontal="center" vertical="center" wrapText="1"/>
    </xf>
    <xf numFmtId="0" fontId="6" fillId="0" borderId="79" xfId="40" applyFont="1" applyBorder="1" applyAlignment="1">
      <alignment horizontal="center" vertical="center" wrapText="1"/>
    </xf>
    <xf numFmtId="0" fontId="6" fillId="0" borderId="83" xfId="40" applyFont="1" applyBorder="1" applyAlignment="1">
      <alignment horizontal="center" vertical="center" wrapText="1"/>
    </xf>
    <xf numFmtId="0" fontId="6" fillId="0" borderId="80" xfId="40" applyFont="1" applyBorder="1" applyAlignment="1">
      <alignment horizontal="center" vertical="center" wrapText="1"/>
    </xf>
    <xf numFmtId="0" fontId="9" fillId="0" borderId="23" xfId="40" applyFont="1" applyBorder="1" applyAlignment="1">
      <alignment horizontal="left" vertical="center" wrapText="1" indent="1"/>
    </xf>
    <xf numFmtId="0" fontId="9" fillId="0" borderId="25" xfId="40" applyFont="1" applyBorder="1" applyAlignment="1">
      <alignment horizontal="left" vertical="center" wrapText="1" indent="1"/>
    </xf>
    <xf numFmtId="0" fontId="9" fillId="0" borderId="65" xfId="40" applyFont="1" applyBorder="1" applyAlignment="1">
      <alignment horizontal="left" vertical="center" wrapText="1" indent="1"/>
    </xf>
    <xf numFmtId="0" fontId="9" fillId="0" borderId="24" xfId="40" applyFont="1" applyBorder="1" applyAlignment="1">
      <alignment horizontal="left" vertical="center" wrapText="1" indent="1"/>
    </xf>
    <xf numFmtId="0" fontId="9" fillId="0" borderId="52" xfId="40" applyFont="1" applyBorder="1" applyAlignment="1">
      <alignment horizontal="center" vertical="center" wrapText="1"/>
    </xf>
    <xf numFmtId="0" fontId="9" fillId="0" borderId="56" xfId="40" applyFont="1" applyBorder="1" applyAlignment="1">
      <alignment horizontal="center" vertical="center" wrapText="1"/>
    </xf>
    <xf numFmtId="0" fontId="26" fillId="0" borderId="13" xfId="40" applyFont="1" applyBorder="1" applyAlignment="1">
      <alignment horizontal="left" vertical="center" wrapText="1"/>
    </xf>
    <xf numFmtId="0" fontId="5" fillId="0" borderId="0" xfId="40" applyFont="1" applyAlignment="1">
      <alignment horizontal="left"/>
    </xf>
    <xf numFmtId="3" fontId="9" fillId="0" borderId="22" xfId="45" applyNumberFormat="1" applyFont="1" applyBorder="1" applyAlignment="1">
      <alignment horizontal="center" vertical="center" wrapText="1"/>
    </xf>
    <xf numFmtId="3" fontId="9" fillId="0" borderId="15" xfId="45"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3" fontId="13" fillId="0" borderId="71" xfId="45" applyNumberFormat="1" applyFont="1" applyBorder="1" applyAlignment="1">
      <alignment horizontal="center" vertical="center" wrapText="1"/>
    </xf>
    <xf numFmtId="3" fontId="13" fillId="0" borderId="62" xfId="45" applyNumberFormat="1" applyFont="1" applyBorder="1" applyAlignment="1">
      <alignment horizontal="center" vertical="center" wrapText="1"/>
    </xf>
    <xf numFmtId="3" fontId="13" fillId="0" borderId="64" xfId="45" applyNumberFormat="1" applyFont="1" applyBorder="1" applyAlignment="1">
      <alignment horizontal="center" vertical="center" wrapText="1"/>
    </xf>
    <xf numFmtId="0" fontId="61" fillId="32" borderId="15" xfId="42" applyFont="1" applyFill="1" applyBorder="1" applyAlignment="1"/>
    <xf numFmtId="0" fontId="61" fillId="32" borderId="13" xfId="42" applyFont="1" applyFill="1" applyBorder="1" applyAlignment="1"/>
    <xf numFmtId="0" fontId="61" fillId="0" borderId="15" xfId="42" applyFont="1" applyBorder="1" applyAlignment="1"/>
    <xf numFmtId="0" fontId="61" fillId="0" borderId="13" xfId="42" applyFont="1" applyBorder="1" applyAlignment="1"/>
    <xf numFmtId="0" fontId="61" fillId="32" borderId="16" xfId="42" applyFont="1" applyFill="1" applyBorder="1" applyAlignment="1"/>
    <xf numFmtId="0" fontId="61" fillId="32" borderId="17" xfId="42" applyFont="1" applyFill="1" applyBorder="1" applyAlignment="1"/>
    <xf numFmtId="3" fontId="13" fillId="0" borderId="71" xfId="44" applyNumberFormat="1" applyFont="1" applyBorder="1" applyAlignment="1">
      <alignment horizontal="center" vertical="center" wrapText="1"/>
    </xf>
    <xf numFmtId="3" fontId="13" fillId="0" borderId="62" xfId="44" applyNumberFormat="1" applyFont="1" applyBorder="1" applyAlignment="1">
      <alignment horizontal="center" vertical="center" wrapText="1"/>
    </xf>
    <xf numFmtId="3" fontId="13" fillId="0" borderId="64" xfId="44" applyNumberFormat="1" applyFont="1" applyBorder="1" applyAlignment="1">
      <alignment horizontal="center" vertical="center" wrapText="1"/>
    </xf>
    <xf numFmtId="3" fontId="9" fillId="0" borderId="71" xfId="44" applyNumberFormat="1" applyFont="1" applyBorder="1" applyAlignment="1">
      <alignment horizontal="left" vertical="center" wrapText="1" indent="1"/>
    </xf>
    <xf numFmtId="3" fontId="9" fillId="0" borderId="62" xfId="44" applyNumberFormat="1" applyFont="1" applyBorder="1" applyAlignment="1">
      <alignment horizontal="left" vertical="center" wrapText="1" indent="1"/>
    </xf>
    <xf numFmtId="3" fontId="9" fillId="0" borderId="64" xfId="44" applyNumberFormat="1" applyFont="1" applyBorder="1" applyAlignment="1">
      <alignment horizontal="left" vertical="center" wrapText="1" indent="1"/>
    </xf>
    <xf numFmtId="0" fontId="9" fillId="0" borderId="71" xfId="0" applyFont="1" applyBorder="1" applyAlignment="1">
      <alignment horizontal="left" vertical="center" wrapText="1"/>
    </xf>
    <xf numFmtId="0" fontId="9" fillId="0" borderId="62" xfId="0" applyFont="1" applyBorder="1" applyAlignment="1">
      <alignment horizontal="left" vertical="center" wrapText="1"/>
    </xf>
    <xf numFmtId="0" fontId="9" fillId="0" borderId="64" xfId="0" applyFont="1" applyBorder="1" applyAlignment="1">
      <alignment horizontal="left" vertical="center" wrapText="1"/>
    </xf>
    <xf numFmtId="0" fontId="13" fillId="0" borderId="74" xfId="0" applyNumberFormat="1" applyFont="1" applyBorder="1" applyAlignment="1">
      <alignment horizontal="center" vertical="center" wrapText="1"/>
    </xf>
    <xf numFmtId="0" fontId="13" fillId="0" borderId="75" xfId="0" applyNumberFormat="1" applyFont="1" applyBorder="1" applyAlignment="1">
      <alignment horizontal="center" vertical="center" wrapText="1"/>
    </xf>
    <xf numFmtId="0" fontId="13" fillId="0" borderId="76" xfId="0" applyNumberFormat="1" applyFont="1" applyBorder="1" applyAlignment="1">
      <alignment horizontal="center" vertical="center" wrapText="1"/>
    </xf>
    <xf numFmtId="0" fontId="61" fillId="32" borderId="30" xfId="42" applyFont="1" applyFill="1" applyBorder="1" applyAlignment="1">
      <alignment horizontal="left" vertical="center" indent="1"/>
    </xf>
    <xf numFmtId="0" fontId="61" fillId="32" borderId="31" xfId="42" applyFont="1" applyFill="1" applyBorder="1" applyAlignment="1">
      <alignment horizontal="left" vertical="center" indent="1"/>
    </xf>
    <xf numFmtId="0" fontId="9" fillId="38" borderId="84" xfId="42" applyFont="1" applyFill="1" applyBorder="1" applyAlignment="1" applyProtection="1">
      <alignment horizontal="left"/>
    </xf>
    <xf numFmtId="0" fontId="9" fillId="38" borderId="32" xfId="42" applyFont="1" applyFill="1" applyBorder="1" applyAlignment="1" applyProtection="1">
      <alignment horizontal="left"/>
    </xf>
    <xf numFmtId="0" fontId="9" fillId="0" borderId="22" xfId="42" applyFont="1" applyBorder="1" applyAlignment="1" applyProtection="1">
      <alignment horizontal="center" vertical="top" wrapText="1"/>
    </xf>
    <xf numFmtId="0" fontId="9" fillId="0" borderId="15" xfId="42" applyFont="1" applyBorder="1" applyAlignment="1" applyProtection="1">
      <alignment horizontal="center" vertical="top" wrapText="1"/>
    </xf>
    <xf numFmtId="0" fontId="70" fillId="0" borderId="70" xfId="42" applyFont="1" applyBorder="1" applyAlignment="1" applyProtection="1">
      <alignment horizontal="left" vertical="center" wrapText="1"/>
    </xf>
    <xf numFmtId="0" fontId="70" fillId="0" borderId="48" xfId="42" applyFont="1" applyBorder="1" applyAlignment="1" applyProtection="1">
      <alignment horizontal="left" vertical="center" wrapText="1"/>
    </xf>
    <xf numFmtId="0" fontId="70" fillId="0" borderId="77" xfId="42" applyFont="1" applyBorder="1" applyAlignment="1" applyProtection="1">
      <alignment horizontal="left" vertical="center" wrapText="1"/>
    </xf>
    <xf numFmtId="0" fontId="6" fillId="0" borderId="66"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23" xfId="42" applyFont="1" applyBorder="1" applyAlignment="1" applyProtection="1">
      <alignment horizontal="center" vertical="center"/>
    </xf>
    <xf numFmtId="0" fontId="9" fillId="0" borderId="25" xfId="42" applyFont="1" applyBorder="1" applyAlignment="1" applyProtection="1">
      <alignment horizontal="center" vertical="center"/>
    </xf>
    <xf numFmtId="0" fontId="9" fillId="0" borderId="21" xfId="42" applyFont="1" applyBorder="1" applyAlignment="1" applyProtection="1">
      <alignment horizontal="center" vertical="center"/>
    </xf>
    <xf numFmtId="0" fontId="9" fillId="0" borderId="19" xfId="42" applyFont="1" applyBorder="1" applyAlignment="1" applyProtection="1">
      <alignment horizontal="center" vertical="center"/>
    </xf>
    <xf numFmtId="168" fontId="9" fillId="0" borderId="25" xfId="42" applyNumberFormat="1" applyFont="1" applyBorder="1" applyAlignment="1" applyProtection="1">
      <alignment horizontal="center" vertical="center"/>
    </xf>
    <xf numFmtId="0" fontId="10" fillId="0" borderId="30" xfId="42" applyFont="1" applyBorder="1" applyAlignment="1" applyProtection="1">
      <alignment horizontal="center"/>
    </xf>
    <xf numFmtId="0" fontId="10" fillId="0" borderId="31" xfId="42" applyFont="1" applyBorder="1" applyAlignment="1" applyProtection="1">
      <alignment horizontal="center"/>
    </xf>
    <xf numFmtId="0" fontId="9" fillId="24" borderId="71" xfId="42" applyFont="1" applyFill="1" applyBorder="1" applyAlignment="1">
      <alignment horizontal="left" vertical="center" wrapText="1"/>
    </xf>
    <xf numFmtId="0" fontId="9" fillId="24" borderId="47" xfId="42" applyFont="1" applyFill="1" applyBorder="1" applyAlignment="1">
      <alignment horizontal="left" vertical="center" wrapText="1"/>
    </xf>
    <xf numFmtId="0" fontId="70" fillId="0" borderId="84" xfId="42" applyFont="1" applyBorder="1" applyAlignment="1" applyProtection="1">
      <alignment horizontal="left" vertical="center" wrapText="1"/>
    </xf>
    <xf numFmtId="0" fontId="70" fillId="0" borderId="52" xfId="42" applyFont="1" applyBorder="1" applyAlignment="1" applyProtection="1">
      <alignment horizontal="left" vertical="center" wrapText="1"/>
    </xf>
    <xf numFmtId="0" fontId="70" fillId="0" borderId="56" xfId="42" applyFont="1" applyBorder="1" applyAlignment="1" applyProtection="1">
      <alignment horizontal="left" vertical="center" wrapText="1"/>
    </xf>
    <xf numFmtId="0" fontId="9" fillId="0" borderId="33" xfId="42" applyFont="1" applyBorder="1" applyAlignment="1">
      <alignment horizontal="center" vertical="center" wrapText="1"/>
    </xf>
    <xf numFmtId="0" fontId="9" fillId="0" borderId="22" xfId="42" applyFont="1" applyBorder="1" applyAlignment="1">
      <alignment horizontal="center" vertical="center" wrapText="1"/>
    </xf>
    <xf numFmtId="0" fontId="9" fillId="35" borderId="71" xfId="42" applyFont="1" applyFill="1" applyBorder="1" applyAlignment="1">
      <alignment vertical="center" wrapText="1"/>
    </xf>
    <xf numFmtId="0" fontId="10" fillId="35" borderId="47" xfId="42" applyFont="1" applyFill="1" applyBorder="1" applyAlignment="1">
      <alignment vertical="center" wrapText="1"/>
    </xf>
    <xf numFmtId="0" fontId="9" fillId="0" borderId="22" xfId="42" applyFont="1" applyBorder="1" applyAlignment="1">
      <alignment horizontal="center" vertical="center"/>
    </xf>
    <xf numFmtId="0" fontId="9" fillId="0" borderId="29" xfId="42" applyFont="1" applyBorder="1" applyAlignment="1">
      <alignment horizontal="center" vertical="center"/>
    </xf>
    <xf numFmtId="0" fontId="9" fillId="0" borderId="21" xfId="42" applyFont="1" applyBorder="1" applyAlignment="1">
      <alignment horizontal="center" vertical="center"/>
    </xf>
    <xf numFmtId="0" fontId="9" fillId="0" borderId="19" xfId="42" applyFont="1" applyBorder="1" applyAlignment="1">
      <alignment horizontal="center" vertical="center"/>
    </xf>
    <xf numFmtId="3" fontId="9" fillId="0" borderId="29" xfId="42" applyNumberFormat="1" applyFont="1" applyBorder="1" applyAlignment="1">
      <alignment horizontal="center" vertical="center"/>
    </xf>
    <xf numFmtId="0" fontId="10" fillId="0" borderId="30" xfId="42" applyFont="1" applyBorder="1" applyAlignment="1">
      <alignment horizontal="center" vertical="center"/>
    </xf>
    <xf numFmtId="0" fontId="10" fillId="0" borderId="31" xfId="42" applyFont="1" applyBorder="1" applyAlignment="1">
      <alignment horizontal="center" vertical="center"/>
    </xf>
    <xf numFmtId="0" fontId="9" fillId="35" borderId="84" xfId="42" applyFont="1" applyFill="1" applyBorder="1" applyAlignment="1">
      <alignment horizontal="left" vertical="center" wrapText="1"/>
    </xf>
    <xf numFmtId="0" fontId="9" fillId="35" borderId="32" xfId="42" applyFont="1" applyFill="1" applyBorder="1" applyAlignment="1">
      <alignment horizontal="left" vertical="center" wrapText="1"/>
    </xf>
    <xf numFmtId="0" fontId="9" fillId="0" borderId="15" xfId="42" applyFont="1" applyBorder="1" applyAlignment="1">
      <alignment horizontal="center" vertical="center" wrapText="1"/>
    </xf>
    <xf numFmtId="0" fontId="10" fillId="0" borderId="22" xfId="42" applyFont="1" applyBorder="1" applyAlignment="1">
      <alignment horizontal="center" vertical="center" wrapText="1"/>
    </xf>
    <xf numFmtId="0" fontId="9" fillId="0" borderId="21" xfId="42" applyFont="1" applyBorder="1" applyAlignment="1">
      <alignment horizontal="center" vertical="center" wrapText="1"/>
    </xf>
    <xf numFmtId="0" fontId="9" fillId="35" borderId="67" xfId="42" applyFont="1" applyFill="1" applyBorder="1" applyAlignment="1">
      <alignment horizontal="left" vertical="center" wrapText="1"/>
    </xf>
    <xf numFmtId="0" fontId="9" fillId="35" borderId="27" xfId="42" applyFont="1" applyFill="1" applyBorder="1" applyAlignment="1">
      <alignment horizontal="left" vertical="center" wrapText="1"/>
    </xf>
    <xf numFmtId="0" fontId="61" fillId="0" borderId="22" xfId="42" applyFont="1" applyBorder="1" applyAlignment="1">
      <alignment horizontal="center" vertical="center"/>
    </xf>
    <xf numFmtId="0" fontId="61" fillId="0" borderId="29" xfId="42" applyFont="1" applyBorder="1" applyAlignment="1">
      <alignment horizontal="center" vertical="center"/>
    </xf>
    <xf numFmtId="0" fontId="61" fillId="0" borderId="16" xfId="42" applyFont="1" applyBorder="1" applyAlignment="1">
      <alignment horizontal="center" vertical="center"/>
    </xf>
    <xf numFmtId="0" fontId="61" fillId="0" borderId="17" xfId="42" applyFont="1" applyBorder="1" applyAlignment="1">
      <alignment horizontal="center" vertical="center"/>
    </xf>
    <xf numFmtId="0" fontId="61" fillId="0" borderId="50" xfId="42" applyFont="1" applyBorder="1" applyAlignment="1">
      <alignment horizontal="center" vertical="center"/>
    </xf>
    <xf numFmtId="0" fontId="61" fillId="0" borderId="0" xfId="42" applyFont="1" applyBorder="1" applyAlignment="1">
      <alignment horizontal="center" vertical="center"/>
    </xf>
    <xf numFmtId="0" fontId="61" fillId="0" borderId="51" xfId="42" applyFont="1" applyBorder="1" applyAlignment="1">
      <alignment horizontal="center" vertical="center"/>
    </xf>
    <xf numFmtId="0" fontId="26" fillId="0" borderId="59" xfId="42" applyFont="1" applyBorder="1" applyAlignment="1"/>
    <xf numFmtId="0" fontId="26" fillId="0" borderId="85" xfId="42" applyFont="1" applyBorder="1" applyAlignment="1"/>
    <xf numFmtId="0" fontId="26" fillId="0" borderId="86" xfId="42" applyFont="1" applyBorder="1" applyAlignment="1"/>
    <xf numFmtId="3" fontId="61" fillId="0" borderId="68" xfId="42" applyNumberFormat="1" applyFont="1" applyBorder="1" applyAlignment="1">
      <alignment horizontal="center" vertical="center" wrapText="1"/>
    </xf>
    <xf numFmtId="0" fontId="26" fillId="0" borderId="53" xfId="42" applyFont="1" applyBorder="1" applyAlignment="1">
      <alignment horizontal="center"/>
    </xf>
    <xf numFmtId="0" fontId="26" fillId="0" borderId="30" xfId="42" applyFont="1" applyBorder="1" applyAlignment="1">
      <alignment horizontal="center"/>
    </xf>
    <xf numFmtId="0" fontId="26" fillId="0" borderId="31" xfId="42" applyFont="1" applyBorder="1" applyAlignment="1">
      <alignment horizontal="center"/>
    </xf>
    <xf numFmtId="0" fontId="9" fillId="35" borderId="66" xfId="42" applyFont="1" applyFill="1" applyBorder="1" applyAlignment="1">
      <alignment vertical="center" wrapText="1"/>
    </xf>
    <xf numFmtId="0" fontId="10" fillId="0" borderId="41" xfId="42" applyFont="1" applyBorder="1" applyAlignment="1">
      <alignment vertical="center" wrapText="1"/>
    </xf>
    <xf numFmtId="0" fontId="9" fillId="35" borderId="70" xfId="42" applyFont="1" applyFill="1" applyBorder="1" applyAlignment="1">
      <alignment vertical="center" wrapText="1"/>
    </xf>
    <xf numFmtId="0" fontId="10" fillId="35" borderId="49" xfId="42" applyFont="1" applyFill="1" applyBorder="1" applyAlignment="1">
      <alignment vertical="center" wrapText="1"/>
    </xf>
    <xf numFmtId="0" fontId="9" fillId="24" borderId="87" xfId="42" applyFont="1" applyFill="1" applyBorder="1" applyAlignment="1">
      <alignment horizontal="left" vertical="center" wrapText="1"/>
    </xf>
    <xf numFmtId="0" fontId="9" fillId="24" borderId="86" xfId="42" applyFont="1" applyFill="1" applyBorder="1" applyAlignment="1">
      <alignment horizontal="left" vertical="center" wrapText="1"/>
    </xf>
    <xf numFmtId="0" fontId="61" fillId="0" borderId="71" xfId="42" applyFont="1" applyBorder="1" applyAlignment="1" applyProtection="1">
      <alignment horizontal="left" vertical="center" wrapText="1"/>
    </xf>
    <xf numFmtId="0" fontId="61" fillId="0" borderId="62" xfId="42" applyFont="1" applyBorder="1" applyAlignment="1" applyProtection="1">
      <alignment horizontal="left" vertical="center" wrapText="1"/>
    </xf>
    <xf numFmtId="0" fontId="61" fillId="0" borderId="64" xfId="42" applyFont="1" applyBorder="1" applyAlignment="1" applyProtection="1">
      <alignment horizontal="left" vertical="center" wrapText="1"/>
    </xf>
    <xf numFmtId="0" fontId="10" fillId="0" borderId="52" xfId="0" applyFont="1" applyBorder="1" applyAlignment="1">
      <alignment horizontal="left"/>
    </xf>
    <xf numFmtId="0" fontId="6" fillId="0" borderId="41" xfId="0" applyFont="1" applyBorder="1" applyAlignment="1">
      <alignment horizontal="center" vertical="center" wrapText="1"/>
    </xf>
  </cellXfs>
  <cellStyles count="10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a 2" xfId="90"/>
    <cellStyle name="Čiarka 3" xfId="97"/>
    <cellStyle name="čiarky 2" xfId="28"/>
    <cellStyle name="čiarky 2 2" xfId="91"/>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2"/>
    <cellStyle name="Normálna 3" xfId="95"/>
    <cellStyle name="Normálna 3 2" xfId="98"/>
    <cellStyle name="Normálna 4" xfId="96"/>
    <cellStyle name="Normálna 5" xfId="99"/>
    <cellStyle name="normálne 2" xfId="41"/>
    <cellStyle name="normálne 3" xfId="42"/>
    <cellStyle name="normálne 3 2" xfId="93"/>
    <cellStyle name="normálne 4" xfId="43"/>
    <cellStyle name="normálne_Databazy_VVŠ_2007_ severská" xfId="44"/>
    <cellStyle name="normálne_sprava_VVŠ_2004_tabuľky_vláda" xfId="45"/>
    <cellStyle name="normální_List1" xfId="46"/>
    <cellStyle name="Note" xfId="47"/>
    <cellStyle name="Note 2" xfId="94"/>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X" xfId="69"/>
    <cellStyle name="SAPBEXHLevel1" xfId="70"/>
    <cellStyle name="SAPBEXHLevel1X" xfId="71"/>
    <cellStyle name="SAPBEXHLevel2" xfId="72"/>
    <cellStyle name="SAPBEXHLevel2X" xfId="73"/>
    <cellStyle name="SAPBEXHLevel3" xfId="74"/>
    <cellStyle name="SAPBEXHLevel3X" xfId="75"/>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CCFFCC"/>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sers/Vanakova/AppData/Local/Temp/K&#243;pia%20-%20Tab_VS_VV&#352;_za%202015%20-%20na%20VV&#3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Users/Vanakova/Documents/dot&#225;cia/dot&#225;cia_2015/CR&#352;/CR&#352;_201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3a-Výnosy"/>
      <sheetName val="T4-Výnosy zo školného"/>
      <sheetName val="T5 - Analýza nákladov"/>
      <sheetName val="T5a - Náklady "/>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a_Aktíva_1"/>
      <sheetName val="T24b_Aktíva_2"/>
      <sheetName val="T25_Pasíva "/>
      <sheetName val="T24__Aktí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7">
          <cell r="F7">
            <v>1044.78</v>
          </cell>
          <cell r="J7">
            <v>17725866.680000003</v>
          </cell>
        </row>
        <row r="8">
          <cell r="F8">
            <v>175.3</v>
          </cell>
          <cell r="J8">
            <v>4453270.8499999996</v>
          </cell>
        </row>
        <row r="9">
          <cell r="F9">
            <v>325.75</v>
          </cell>
          <cell r="J9">
            <v>6003180.9000000004</v>
          </cell>
        </row>
        <row r="10">
          <cell r="F10">
            <v>524.54000000000008</v>
          </cell>
          <cell r="J10">
            <v>7053296.7400000002</v>
          </cell>
        </row>
        <row r="11">
          <cell r="F11">
            <v>7.2200000000000006</v>
          </cell>
          <cell r="J11">
            <v>80016.92</v>
          </cell>
        </row>
        <row r="12">
          <cell r="F12">
            <v>11.97</v>
          </cell>
          <cell r="J12">
            <v>136101.26999999999</v>
          </cell>
        </row>
        <row r="13">
          <cell r="F13">
            <v>250.37</v>
          </cell>
          <cell r="J13">
            <v>2995041.12</v>
          </cell>
        </row>
        <row r="15">
          <cell r="F15">
            <v>124.99</v>
          </cell>
          <cell r="J15">
            <v>1875445.5499999998</v>
          </cell>
        </row>
        <row r="16">
          <cell r="F16">
            <v>453.69000000000005</v>
          </cell>
          <cell r="J16">
            <v>5395021.6799999997</v>
          </cell>
        </row>
        <row r="17">
          <cell r="F17">
            <v>90.96</v>
          </cell>
          <cell r="J17">
            <v>1540860.04</v>
          </cell>
        </row>
        <row r="18">
          <cell r="F18">
            <v>147.74</v>
          </cell>
          <cell r="J18">
            <v>1666157.6</v>
          </cell>
        </row>
        <row r="19">
          <cell r="F19">
            <v>214.99</v>
          </cell>
          <cell r="J19">
            <v>2188004.04</v>
          </cell>
        </row>
        <row r="20">
          <cell r="F20">
            <v>364.68</v>
          </cell>
          <cell r="J20">
            <v>4808867.1100000003</v>
          </cell>
        </row>
        <row r="21">
          <cell r="F21">
            <v>305.92</v>
          </cell>
          <cell r="J21">
            <v>2072416.08</v>
          </cell>
        </row>
        <row r="22">
          <cell r="F22">
            <v>1</v>
          </cell>
          <cell r="J22">
            <v>6273</v>
          </cell>
        </row>
        <row r="23">
          <cell r="F23">
            <v>1</v>
          </cell>
          <cell r="J23">
            <v>6273</v>
          </cell>
        </row>
        <row r="24">
          <cell r="F24">
            <v>0</v>
          </cell>
          <cell r="J24">
            <v>0</v>
          </cell>
        </row>
        <row r="25">
          <cell r="F25">
            <v>0</v>
          </cell>
          <cell r="J25">
            <v>0</v>
          </cell>
        </row>
        <row r="26">
          <cell r="F26">
            <v>0</v>
          </cell>
          <cell r="J26">
            <v>0</v>
          </cell>
        </row>
        <row r="28">
          <cell r="F28">
            <v>185.44</v>
          </cell>
          <cell r="J28">
            <v>1538143.3299999998</v>
          </cell>
        </row>
        <row r="29">
          <cell r="F29">
            <v>52.47</v>
          </cell>
          <cell r="J29">
            <v>450838.5</v>
          </cell>
        </row>
        <row r="30">
          <cell r="F30">
            <v>2657.35</v>
          </cell>
          <cell r="J30">
            <v>34986194.5</v>
          </cell>
        </row>
      </sheetData>
      <sheetData sheetId="13">
        <row r="7">
          <cell r="F7">
            <v>358.56</v>
          </cell>
          <cell r="J7">
            <v>5413410.0599999996</v>
          </cell>
        </row>
        <row r="8">
          <cell r="F8">
            <v>13.55</v>
          </cell>
          <cell r="J8">
            <v>352178.05</v>
          </cell>
        </row>
        <row r="9">
          <cell r="F9">
            <v>115.88</v>
          </cell>
          <cell r="J9">
            <v>2070468.31</v>
          </cell>
        </row>
        <row r="10">
          <cell r="F10">
            <v>220.78</v>
          </cell>
          <cell r="J10">
            <v>2891223.22</v>
          </cell>
        </row>
        <row r="11">
          <cell r="F11">
            <v>1.67</v>
          </cell>
          <cell r="J11">
            <v>21516.260000000002</v>
          </cell>
        </row>
        <row r="12">
          <cell r="F12">
            <v>6.68</v>
          </cell>
          <cell r="J12">
            <v>78024.22</v>
          </cell>
        </row>
        <row r="13">
          <cell r="F13">
            <v>124.72</v>
          </cell>
          <cell r="J13">
            <v>1299208.45</v>
          </cell>
        </row>
        <row r="15">
          <cell r="F15">
            <v>37.229999999999997</v>
          </cell>
          <cell r="J15">
            <v>514075.82999999996</v>
          </cell>
        </row>
        <row r="16">
          <cell r="F16">
            <v>381.34000000000003</v>
          </cell>
          <cell r="J16">
            <v>4244489.99</v>
          </cell>
        </row>
        <row r="17">
          <cell r="F17">
            <v>69.72</v>
          </cell>
          <cell r="J17">
            <v>994264.17</v>
          </cell>
        </row>
        <row r="18">
          <cell r="F18">
            <v>142.35999999999999</v>
          </cell>
          <cell r="J18">
            <v>1583777.83</v>
          </cell>
        </row>
        <row r="19">
          <cell r="F19">
            <v>169.26000000000002</v>
          </cell>
          <cell r="J19">
            <v>1666447.99</v>
          </cell>
        </row>
        <row r="20">
          <cell r="F20">
            <v>124.97</v>
          </cell>
          <cell r="J20">
            <v>1431836.12</v>
          </cell>
        </row>
        <row r="21">
          <cell r="F21">
            <v>150.78</v>
          </cell>
          <cell r="J21">
            <v>919230.39999999991</v>
          </cell>
        </row>
        <row r="22">
          <cell r="F22">
            <v>0</v>
          </cell>
          <cell r="J22">
            <v>0</v>
          </cell>
        </row>
        <row r="23">
          <cell r="F23">
            <v>0</v>
          </cell>
          <cell r="J23">
            <v>0</v>
          </cell>
        </row>
        <row r="24">
          <cell r="F24">
            <v>0</v>
          </cell>
          <cell r="J24">
            <v>0</v>
          </cell>
        </row>
        <row r="25">
          <cell r="F25">
            <v>0</v>
          </cell>
          <cell r="J25">
            <v>0</v>
          </cell>
        </row>
        <row r="26">
          <cell r="F26">
            <v>0</v>
          </cell>
          <cell r="J26">
            <v>0</v>
          </cell>
        </row>
        <row r="28">
          <cell r="F28">
            <v>118.97</v>
          </cell>
          <cell r="J28">
            <v>946429.83000000007</v>
          </cell>
        </row>
        <row r="29">
          <cell r="F29">
            <v>42.332000000000001</v>
          </cell>
          <cell r="J29">
            <v>361083.1</v>
          </cell>
        </row>
        <row r="30">
          <cell r="F30">
            <v>1301.6720000000003</v>
          </cell>
          <cell r="J30">
            <v>14615687.950000001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Š_2015"/>
    </sheetNames>
    <sheetDataSet>
      <sheetData sheetId="0">
        <row r="168">
          <cell r="R168">
            <v>1293113</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emilia.seversk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enableFormatConditionsCalculation="0">
    <tabColor indexed="35"/>
  </sheetPr>
  <dimension ref="A2:Q35"/>
  <sheetViews>
    <sheetView zoomScaleNormal="100" workbookViewId="0">
      <pane xSplit="1" ySplit="2" topLeftCell="B3" activePane="bottomRight" state="frozen"/>
      <selection pane="topRight" activeCell="B1" sqref="B1"/>
      <selection pane="bottomLeft" activeCell="A3" sqref="A3"/>
      <selection pane="bottomRight" activeCell="A2" sqref="A2"/>
    </sheetView>
  </sheetViews>
  <sheetFormatPr defaultRowHeight="12.75" x14ac:dyDescent="0.2"/>
  <cols>
    <col min="1" max="1" width="13.5703125" style="126" customWidth="1"/>
    <col min="17" max="17" width="10.42578125" customWidth="1"/>
    <col min="18" max="18" width="19.42578125" customWidth="1"/>
  </cols>
  <sheetData>
    <row r="2" spans="1:17" ht="23.25" customHeight="1" x14ac:dyDescent="0.25">
      <c r="A2" s="288"/>
      <c r="B2" s="334" t="s">
        <v>1288</v>
      </c>
      <c r="C2" s="335"/>
      <c r="D2" s="335"/>
      <c r="E2" s="335"/>
      <c r="F2" s="335"/>
      <c r="G2" s="335"/>
      <c r="H2" s="335"/>
      <c r="I2" s="335"/>
      <c r="J2" s="335"/>
      <c r="K2" s="335"/>
      <c r="L2" s="336"/>
      <c r="M2" s="289"/>
      <c r="N2" s="289"/>
      <c r="O2" s="289"/>
      <c r="P2" s="289"/>
      <c r="Q2" s="290"/>
    </row>
    <row r="3" spans="1:17" ht="15.75" x14ac:dyDescent="0.25">
      <c r="A3" s="291"/>
      <c r="B3" s="285"/>
      <c r="C3" s="286"/>
      <c r="D3" s="286"/>
      <c r="E3" s="286"/>
      <c r="F3" s="286"/>
      <c r="G3" s="286"/>
      <c r="H3" s="286"/>
      <c r="I3" s="286"/>
      <c r="J3" s="286"/>
      <c r="K3" s="286"/>
      <c r="L3" s="87"/>
      <c r="M3" s="87"/>
      <c r="N3" s="87"/>
      <c r="O3" s="87"/>
      <c r="P3" s="87"/>
      <c r="Q3" s="292"/>
    </row>
    <row r="4" spans="1:17" ht="23.1" customHeight="1" x14ac:dyDescent="0.25">
      <c r="A4" s="330" t="s">
        <v>12</v>
      </c>
      <c r="B4" s="294" t="s">
        <v>1361</v>
      </c>
      <c r="C4" s="295"/>
      <c r="D4" s="295"/>
      <c r="E4" s="295"/>
      <c r="F4" s="295"/>
      <c r="G4" s="295"/>
      <c r="H4" s="295"/>
      <c r="I4" s="295"/>
      <c r="J4" s="295"/>
      <c r="K4" s="295"/>
      <c r="L4" s="295"/>
      <c r="M4" s="295"/>
      <c r="N4" s="295"/>
      <c r="O4" s="295"/>
      <c r="P4" s="295"/>
      <c r="Q4" s="296"/>
    </row>
    <row r="5" spans="1:17" ht="23.1" customHeight="1" x14ac:dyDescent="0.25">
      <c r="A5" s="455" t="s">
        <v>852</v>
      </c>
      <c r="B5" s="294" t="s">
        <v>1362</v>
      </c>
      <c r="C5" s="295"/>
      <c r="D5" s="295"/>
      <c r="E5" s="295"/>
      <c r="F5" s="295"/>
      <c r="G5" s="295"/>
      <c r="H5" s="295"/>
      <c r="I5" s="295"/>
      <c r="J5" s="295"/>
      <c r="K5" s="295"/>
      <c r="L5" s="295"/>
      <c r="M5" s="295"/>
      <c r="N5" s="295"/>
      <c r="O5" s="295"/>
      <c r="P5" s="295"/>
      <c r="Q5" s="296"/>
    </row>
    <row r="6" spans="1:17" ht="23.1" customHeight="1" x14ac:dyDescent="0.25">
      <c r="A6" s="455" t="s">
        <v>1109</v>
      </c>
      <c r="B6" s="331" t="s">
        <v>1108</v>
      </c>
      <c r="C6" s="331"/>
      <c r="D6" s="295"/>
      <c r="E6" s="295"/>
      <c r="F6" s="295"/>
      <c r="G6" s="295"/>
      <c r="H6" s="295"/>
      <c r="I6" s="295"/>
      <c r="J6" s="295"/>
      <c r="K6" s="295"/>
      <c r="L6" s="295"/>
      <c r="M6" s="295"/>
      <c r="N6" s="295"/>
      <c r="O6" s="295"/>
      <c r="P6" s="295"/>
      <c r="Q6" s="296"/>
    </row>
    <row r="7" spans="1:17" ht="39.75" customHeight="1" x14ac:dyDescent="0.25">
      <c r="A7" s="329" t="s">
        <v>339</v>
      </c>
      <c r="B7" s="903" t="s">
        <v>1359</v>
      </c>
      <c r="C7" s="903"/>
      <c r="D7" s="903"/>
      <c r="E7" s="903"/>
      <c r="F7" s="903"/>
      <c r="G7" s="903"/>
      <c r="H7" s="903"/>
      <c r="I7" s="903"/>
      <c r="J7" s="903"/>
      <c r="K7" s="903"/>
      <c r="L7" s="903"/>
      <c r="M7" s="903"/>
      <c r="N7" s="903"/>
      <c r="O7" s="903"/>
      <c r="P7" s="903"/>
      <c r="Q7" s="904"/>
    </row>
    <row r="8" spans="1:17" ht="23.1" customHeight="1" x14ac:dyDescent="0.25">
      <c r="A8" s="329" t="s">
        <v>229</v>
      </c>
      <c r="B8" s="331" t="s">
        <v>1360</v>
      </c>
      <c r="C8" s="332"/>
      <c r="D8" s="332"/>
      <c r="E8" s="332"/>
      <c r="F8" s="332"/>
      <c r="G8" s="332"/>
      <c r="H8" s="332"/>
      <c r="I8" s="332"/>
      <c r="J8" s="332"/>
      <c r="K8" s="332"/>
      <c r="L8" s="332"/>
      <c r="M8" s="332"/>
      <c r="N8" s="332"/>
      <c r="O8" s="332"/>
      <c r="P8" s="332"/>
      <c r="Q8" s="333"/>
    </row>
    <row r="9" spans="1:17" ht="23.1" customHeight="1" x14ac:dyDescent="0.25">
      <c r="A9" s="329" t="s">
        <v>230</v>
      </c>
      <c r="B9" s="570" t="s">
        <v>1305</v>
      </c>
      <c r="C9" s="332"/>
      <c r="D9" s="332"/>
      <c r="E9" s="332"/>
      <c r="F9" s="332"/>
      <c r="G9" s="332"/>
      <c r="H9" s="332"/>
      <c r="I9" s="332"/>
      <c r="J9" s="332"/>
      <c r="K9" s="332"/>
      <c r="L9" s="332"/>
      <c r="M9" s="332"/>
      <c r="N9" s="332"/>
      <c r="O9" s="332"/>
      <c r="P9" s="332"/>
      <c r="Q9" s="333"/>
    </row>
    <row r="10" spans="1:17" ht="23.1" customHeight="1" x14ac:dyDescent="0.25">
      <c r="A10" s="571" t="s">
        <v>1166</v>
      </c>
      <c r="B10" s="575" t="s">
        <v>1471</v>
      </c>
      <c r="C10" s="576"/>
      <c r="D10" s="576"/>
      <c r="E10" s="576"/>
      <c r="F10" s="576"/>
      <c r="G10" s="576"/>
      <c r="H10" s="576"/>
      <c r="I10" s="576"/>
      <c r="J10" s="576"/>
      <c r="K10" s="576"/>
      <c r="L10" s="576"/>
      <c r="M10" s="576"/>
      <c r="N10" s="332"/>
      <c r="O10" s="332"/>
      <c r="P10" s="332"/>
      <c r="Q10" s="333"/>
    </row>
    <row r="11" spans="1:17" ht="23.1" customHeight="1" x14ac:dyDescent="0.25">
      <c r="A11" s="293" t="s">
        <v>231</v>
      </c>
      <c r="B11" s="287" t="s">
        <v>1289</v>
      </c>
      <c r="C11" s="87"/>
      <c r="D11" s="87"/>
      <c r="E11" s="87"/>
      <c r="F11" s="87"/>
      <c r="G11" s="87"/>
      <c r="H11" s="87"/>
      <c r="I11" s="87"/>
      <c r="J11" s="87"/>
      <c r="K11" s="87"/>
      <c r="L11" s="87"/>
      <c r="M11" s="87"/>
      <c r="N11" s="87"/>
      <c r="O11" s="87"/>
      <c r="P11" s="87"/>
      <c r="Q11" s="292"/>
    </row>
    <row r="12" spans="1:17" ht="23.1" customHeight="1" x14ac:dyDescent="0.25">
      <c r="A12" s="329" t="s">
        <v>232</v>
      </c>
      <c r="B12" s="331" t="s">
        <v>1290</v>
      </c>
      <c r="C12" s="332"/>
      <c r="D12" s="332"/>
      <c r="E12" s="332"/>
      <c r="F12" s="332"/>
      <c r="G12" s="332"/>
      <c r="H12" s="332"/>
      <c r="I12" s="332"/>
      <c r="J12" s="332"/>
      <c r="K12" s="332"/>
      <c r="L12" s="332"/>
      <c r="M12" s="332"/>
      <c r="N12" s="332"/>
      <c r="O12" s="332"/>
      <c r="P12" s="332"/>
      <c r="Q12" s="333"/>
    </row>
    <row r="13" spans="1:17" ht="23.1" customHeight="1" x14ac:dyDescent="0.25">
      <c r="A13" s="571" t="s">
        <v>1168</v>
      </c>
      <c r="B13" s="575" t="s">
        <v>1472</v>
      </c>
      <c r="C13" s="332"/>
      <c r="D13" s="332"/>
      <c r="E13" s="332"/>
      <c r="F13" s="332"/>
      <c r="G13" s="332"/>
      <c r="H13" s="332"/>
      <c r="I13" s="332"/>
      <c r="J13" s="332"/>
      <c r="K13" s="332"/>
      <c r="L13" s="332"/>
      <c r="M13" s="332"/>
      <c r="N13" s="332"/>
      <c r="O13" s="332"/>
      <c r="P13" s="332"/>
      <c r="Q13" s="333"/>
    </row>
    <row r="14" spans="1:17" ht="23.1" customHeight="1" x14ac:dyDescent="0.25">
      <c r="A14" s="329" t="s">
        <v>233</v>
      </c>
      <c r="B14" s="331" t="s">
        <v>1291</v>
      </c>
      <c r="C14" s="332"/>
      <c r="D14" s="332"/>
      <c r="E14" s="332"/>
      <c r="F14" s="332"/>
      <c r="G14" s="332"/>
      <c r="H14" s="332"/>
      <c r="I14" s="332"/>
      <c r="J14" s="332"/>
      <c r="K14" s="332"/>
      <c r="L14" s="332"/>
      <c r="M14" s="332"/>
      <c r="N14" s="332"/>
      <c r="O14" s="332"/>
      <c r="P14" s="332"/>
      <c r="Q14" s="333"/>
    </row>
    <row r="15" spans="1:17" ht="23.1" customHeight="1" x14ac:dyDescent="0.25">
      <c r="A15" s="293" t="s">
        <v>1128</v>
      </c>
      <c r="B15" s="287" t="s">
        <v>1367</v>
      </c>
      <c r="C15" s="87"/>
      <c r="D15" s="87"/>
      <c r="E15" s="87"/>
      <c r="F15" s="87"/>
      <c r="G15" s="87"/>
      <c r="H15" s="87"/>
      <c r="I15" s="87"/>
      <c r="J15" s="87"/>
      <c r="K15" s="87"/>
      <c r="L15" s="87"/>
      <c r="M15" s="87"/>
      <c r="N15" s="87"/>
      <c r="O15" s="87"/>
      <c r="P15" s="87"/>
      <c r="Q15" s="292"/>
    </row>
    <row r="16" spans="1:17" ht="23.1" customHeight="1" x14ac:dyDescent="0.25">
      <c r="A16" s="482" t="s">
        <v>234</v>
      </c>
      <c r="B16" s="331" t="s">
        <v>1292</v>
      </c>
      <c r="C16" s="332"/>
      <c r="D16" s="332"/>
      <c r="E16" s="332"/>
      <c r="F16" s="332"/>
      <c r="G16" s="332"/>
      <c r="H16" s="332"/>
      <c r="I16" s="332"/>
      <c r="J16" s="332"/>
      <c r="K16" s="332"/>
      <c r="L16" s="332"/>
      <c r="M16" s="332"/>
      <c r="N16" s="332"/>
      <c r="O16" s="332"/>
      <c r="P16" s="332"/>
      <c r="Q16" s="333"/>
    </row>
    <row r="17" spans="1:17" ht="23.1" customHeight="1" x14ac:dyDescent="0.25">
      <c r="A17" s="293" t="s">
        <v>212</v>
      </c>
      <c r="B17" s="287" t="s">
        <v>1293</v>
      </c>
      <c r="C17" s="87"/>
      <c r="D17" s="87"/>
      <c r="E17" s="87"/>
      <c r="F17" s="87"/>
      <c r="G17" s="87"/>
      <c r="H17" s="87"/>
      <c r="I17" s="87"/>
      <c r="J17" s="87"/>
      <c r="K17" s="87"/>
      <c r="L17" s="87"/>
      <c r="M17" s="87"/>
      <c r="N17" s="87"/>
      <c r="O17" s="87"/>
      <c r="P17" s="87"/>
      <c r="Q17" s="292"/>
    </row>
    <row r="18" spans="1:17" ht="23.1" customHeight="1" x14ac:dyDescent="0.25">
      <c r="A18" s="329" t="s">
        <v>0</v>
      </c>
      <c r="B18" s="331" t="s">
        <v>1294</v>
      </c>
      <c r="C18" s="332"/>
      <c r="D18" s="332"/>
      <c r="E18" s="332"/>
      <c r="F18" s="332"/>
      <c r="G18" s="332"/>
      <c r="H18" s="332"/>
      <c r="I18" s="332"/>
      <c r="J18" s="332"/>
      <c r="K18" s="332"/>
      <c r="L18" s="332"/>
      <c r="M18" s="332"/>
      <c r="N18" s="332"/>
      <c r="O18" s="332"/>
      <c r="P18" s="332"/>
      <c r="Q18" s="333"/>
    </row>
    <row r="19" spans="1:17" ht="23.1" customHeight="1" x14ac:dyDescent="0.25">
      <c r="A19" s="293" t="s">
        <v>1</v>
      </c>
      <c r="B19" s="287" t="s">
        <v>1295</v>
      </c>
      <c r="C19" s="87"/>
      <c r="D19" s="87"/>
      <c r="E19" s="87"/>
      <c r="F19" s="87"/>
      <c r="G19" s="87"/>
      <c r="H19" s="87"/>
      <c r="I19" s="87"/>
      <c r="J19" s="87"/>
      <c r="K19" s="87"/>
      <c r="L19" s="87"/>
      <c r="M19" s="87"/>
      <c r="N19" s="87"/>
      <c r="O19" s="87"/>
      <c r="P19" s="87"/>
      <c r="Q19" s="292"/>
    </row>
    <row r="20" spans="1:17" ht="23.1" customHeight="1" x14ac:dyDescent="0.25">
      <c r="A20" s="329" t="s">
        <v>2</v>
      </c>
      <c r="B20" s="331" t="s">
        <v>1296</v>
      </c>
      <c r="C20" s="331"/>
      <c r="D20" s="331"/>
      <c r="E20" s="331"/>
      <c r="F20" s="332"/>
      <c r="G20" s="332"/>
      <c r="H20" s="332"/>
      <c r="I20" s="332"/>
      <c r="J20" s="332"/>
      <c r="K20" s="332"/>
      <c r="L20" s="332"/>
      <c r="M20" s="332"/>
      <c r="N20" s="332"/>
      <c r="O20" s="332"/>
      <c r="P20" s="332"/>
      <c r="Q20" s="333"/>
    </row>
    <row r="21" spans="1:17" ht="23.1" customHeight="1" x14ac:dyDescent="0.25">
      <c r="A21" s="293" t="s">
        <v>3</v>
      </c>
      <c r="B21" s="287" t="s">
        <v>1297</v>
      </c>
      <c r="C21" s="87"/>
      <c r="D21" s="87"/>
      <c r="E21" s="87"/>
      <c r="F21" s="87"/>
      <c r="G21" s="87"/>
      <c r="H21" s="87"/>
      <c r="I21" s="87"/>
      <c r="J21" s="87"/>
      <c r="K21" s="87"/>
      <c r="L21" s="87"/>
      <c r="M21" s="87"/>
      <c r="N21" s="87"/>
      <c r="O21" s="87"/>
      <c r="P21" s="87"/>
      <c r="Q21" s="292"/>
    </row>
    <row r="22" spans="1:17" ht="23.1" customHeight="1" x14ac:dyDescent="0.25">
      <c r="A22" s="482" t="s">
        <v>4</v>
      </c>
      <c r="B22" s="331" t="s">
        <v>1298</v>
      </c>
      <c r="C22" s="332"/>
      <c r="D22" s="332"/>
      <c r="E22" s="332"/>
      <c r="F22" s="332"/>
      <c r="G22" s="332"/>
      <c r="H22" s="332"/>
      <c r="I22" s="332"/>
      <c r="J22" s="332"/>
      <c r="K22" s="332"/>
      <c r="L22" s="332"/>
      <c r="M22" s="332"/>
      <c r="N22" s="332"/>
      <c r="O22" s="332"/>
      <c r="P22" s="332"/>
      <c r="Q22" s="333"/>
    </row>
    <row r="23" spans="1:17" ht="23.1" customHeight="1" x14ac:dyDescent="0.25">
      <c r="A23" s="293" t="s">
        <v>5</v>
      </c>
      <c r="B23" s="287" t="s">
        <v>1364</v>
      </c>
      <c r="C23" s="87"/>
      <c r="D23" s="87"/>
      <c r="E23" s="87"/>
      <c r="F23" s="87"/>
      <c r="G23" s="87"/>
      <c r="H23" s="87"/>
      <c r="I23" s="87"/>
      <c r="J23" s="87"/>
      <c r="K23" s="87"/>
      <c r="L23" s="87"/>
      <c r="M23" s="87"/>
      <c r="N23" s="87"/>
      <c r="O23" s="87"/>
      <c r="P23" s="87"/>
      <c r="Q23" s="292"/>
    </row>
    <row r="24" spans="1:17" ht="32.450000000000003" customHeight="1" x14ac:dyDescent="0.25">
      <c r="A24" s="482" t="s">
        <v>78</v>
      </c>
      <c r="B24" s="907" t="s">
        <v>1299</v>
      </c>
      <c r="C24" s="907"/>
      <c r="D24" s="907"/>
      <c r="E24" s="907"/>
      <c r="F24" s="907"/>
      <c r="G24" s="907"/>
      <c r="H24" s="907"/>
      <c r="I24" s="907"/>
      <c r="J24" s="907"/>
      <c r="K24" s="907"/>
      <c r="L24" s="907"/>
      <c r="M24" s="907"/>
      <c r="N24" s="907"/>
      <c r="O24" s="907"/>
      <c r="P24" s="907"/>
      <c r="Q24" s="908"/>
    </row>
    <row r="25" spans="1:17" ht="33.6" customHeight="1" x14ac:dyDescent="0.25">
      <c r="A25" s="293" t="s">
        <v>6</v>
      </c>
      <c r="B25" s="905" t="s">
        <v>1363</v>
      </c>
      <c r="C25" s="905"/>
      <c r="D25" s="905"/>
      <c r="E25" s="905"/>
      <c r="F25" s="905"/>
      <c r="G25" s="905"/>
      <c r="H25" s="905"/>
      <c r="I25" s="905"/>
      <c r="J25" s="905"/>
      <c r="K25" s="905"/>
      <c r="L25" s="905"/>
      <c r="M25" s="905"/>
      <c r="N25" s="905"/>
      <c r="O25" s="905"/>
      <c r="P25" s="905"/>
      <c r="Q25" s="906"/>
    </row>
    <row r="26" spans="1:17" ht="23.1" customHeight="1" x14ac:dyDescent="0.25">
      <c r="A26" s="329" t="s">
        <v>7</v>
      </c>
      <c r="B26" s="331" t="s">
        <v>1300</v>
      </c>
      <c r="C26" s="332"/>
      <c r="D26" s="332"/>
      <c r="E26" s="332"/>
      <c r="F26" s="332"/>
      <c r="G26" s="332"/>
      <c r="H26" s="332"/>
      <c r="I26" s="332"/>
      <c r="J26" s="332"/>
      <c r="K26" s="332"/>
      <c r="L26" s="332"/>
      <c r="M26" s="332"/>
      <c r="N26" s="332"/>
      <c r="O26" s="332"/>
      <c r="P26" s="332"/>
      <c r="Q26" s="333"/>
    </row>
    <row r="27" spans="1:17" ht="23.1" customHeight="1" x14ac:dyDescent="0.25">
      <c r="A27" s="329" t="s">
        <v>8</v>
      </c>
      <c r="B27" s="287" t="s">
        <v>1301</v>
      </c>
      <c r="C27" s="87"/>
      <c r="D27" s="87"/>
      <c r="E27" s="87"/>
      <c r="F27" s="87"/>
      <c r="G27" s="87"/>
      <c r="H27" s="87"/>
      <c r="I27" s="87"/>
      <c r="J27" s="87"/>
      <c r="K27" s="87"/>
      <c r="L27" s="87"/>
      <c r="M27" s="87"/>
      <c r="N27" s="87"/>
      <c r="O27" s="87"/>
      <c r="P27" s="87"/>
      <c r="Q27" s="292"/>
    </row>
    <row r="28" spans="1:17" ht="23.1" customHeight="1" x14ac:dyDescent="0.25">
      <c r="A28" s="329" t="s">
        <v>9</v>
      </c>
      <c r="B28" s="331" t="s">
        <v>1302</v>
      </c>
      <c r="C28" s="332"/>
      <c r="D28" s="332"/>
      <c r="E28" s="332"/>
      <c r="F28" s="332"/>
      <c r="G28" s="332"/>
      <c r="H28" s="332"/>
      <c r="I28" s="332"/>
      <c r="J28" s="332"/>
      <c r="K28" s="332"/>
      <c r="L28" s="332"/>
      <c r="M28" s="332"/>
      <c r="N28" s="332"/>
      <c r="O28" s="332"/>
      <c r="P28" s="332"/>
      <c r="Q28" s="333"/>
    </row>
    <row r="29" spans="1:17" ht="23.1" customHeight="1" x14ac:dyDescent="0.25">
      <c r="A29" s="329" t="s">
        <v>662</v>
      </c>
      <c r="B29" s="287" t="s">
        <v>1303</v>
      </c>
      <c r="C29" s="87"/>
      <c r="D29" s="87"/>
      <c r="E29" s="87"/>
      <c r="F29" s="87"/>
      <c r="G29" s="87"/>
      <c r="H29" s="87"/>
      <c r="I29" s="87"/>
      <c r="J29" s="87"/>
      <c r="K29" s="87"/>
      <c r="L29" s="87"/>
      <c r="M29" s="87"/>
      <c r="N29" s="87"/>
      <c r="O29" s="87"/>
      <c r="P29" s="87"/>
      <c r="Q29" s="292"/>
    </row>
    <row r="30" spans="1:17" ht="23.1" customHeight="1" x14ac:dyDescent="0.25">
      <c r="A30" s="329" t="s">
        <v>663</v>
      </c>
      <c r="B30" s="331" t="s">
        <v>1304</v>
      </c>
      <c r="C30" s="332"/>
      <c r="D30" s="332"/>
      <c r="E30" s="332"/>
      <c r="F30" s="332"/>
      <c r="G30" s="332"/>
      <c r="H30" s="332"/>
      <c r="I30" s="332"/>
      <c r="J30" s="332"/>
      <c r="K30" s="332"/>
      <c r="L30" s="332"/>
      <c r="M30" s="332"/>
      <c r="N30" s="332"/>
      <c r="O30" s="332"/>
      <c r="P30" s="332"/>
      <c r="Q30" s="333"/>
    </row>
    <row r="31" spans="1:17" ht="23.1" customHeight="1" x14ac:dyDescent="0.25">
      <c r="A31" s="640" t="s">
        <v>849</v>
      </c>
      <c r="B31" s="287" t="s">
        <v>1356</v>
      </c>
      <c r="C31" s="337"/>
      <c r="D31" s="87"/>
      <c r="E31" s="87"/>
      <c r="F31" s="87"/>
      <c r="G31" s="87"/>
      <c r="H31" s="87"/>
      <c r="I31" s="87"/>
      <c r="J31" s="87"/>
      <c r="K31" s="87"/>
      <c r="L31" s="87"/>
      <c r="M31" s="87"/>
      <c r="N31" s="87"/>
      <c r="O31" s="87"/>
      <c r="P31" s="87"/>
      <c r="Q31" s="292"/>
    </row>
    <row r="32" spans="1:17" ht="23.1" customHeight="1" x14ac:dyDescent="0.25">
      <c r="A32" s="640" t="s">
        <v>850</v>
      </c>
      <c r="B32" s="331" t="s">
        <v>1357</v>
      </c>
      <c r="C32" s="338"/>
      <c r="D32" s="332"/>
      <c r="E32" s="332"/>
      <c r="F32" s="332"/>
      <c r="G32" s="332"/>
      <c r="H32" s="332"/>
      <c r="I32" s="332"/>
      <c r="J32" s="332"/>
      <c r="K32" s="332"/>
      <c r="L32" s="332"/>
      <c r="M32" s="332"/>
      <c r="N32" s="332"/>
      <c r="O32" s="332"/>
      <c r="P32" s="332"/>
      <c r="Q32" s="333"/>
    </row>
    <row r="33" spans="1:17" ht="23.1" customHeight="1" x14ac:dyDescent="0.25">
      <c r="A33" s="640" t="s">
        <v>664</v>
      </c>
      <c r="B33" s="294" t="s">
        <v>1358</v>
      </c>
      <c r="C33" s="339"/>
      <c r="D33" s="295"/>
      <c r="E33" s="295"/>
      <c r="F33" s="295"/>
      <c r="G33" s="295"/>
      <c r="H33" s="295"/>
      <c r="I33" s="295"/>
      <c r="J33" s="295"/>
      <c r="K33" s="295"/>
      <c r="L33" s="295"/>
      <c r="M33" s="295"/>
      <c r="N33" s="295"/>
      <c r="O33" s="295"/>
      <c r="P33" s="295"/>
      <c r="Q33" s="296"/>
    </row>
    <row r="34" spans="1:17" x14ac:dyDescent="0.2">
      <c r="A34" s="641"/>
    </row>
    <row r="35" spans="1:17" x14ac:dyDescent="0.2">
      <c r="A35" s="641"/>
    </row>
  </sheetData>
  <mergeCells count="3">
    <mergeCell ref="B7:Q7"/>
    <mergeCell ref="B25:Q25"/>
    <mergeCell ref="B24:Q24"/>
  </mergeCells>
  <phoneticPr fontId="8" type="noConversion"/>
  <hyperlinks>
    <hyperlink ref="B7" r:id="rId1" display="Tabuľky_VVŠ_2007_prázdne.xls"/>
    <hyperlink ref="A9" location="'T3-Výnosy'!A1" display="Tabuľka 3"/>
    <hyperlink ref="A8" location="'T2-Ostatné dot mimo MŠ SR'!A1" display="Tabuľka 2"/>
    <hyperlink ref="A11" location="'T4-Výnosy zo školného'!A1" display="Tabuľka 4"/>
    <hyperlink ref="A7" location="'T1-Dotácie podľa DZ'!A1" display="Tabuľka 1"/>
    <hyperlink ref="A12" location="'T5 - Analýza nákladov'!A1" display="Tabuľka 5"/>
    <hyperlink ref="A14" location="'T6-Zamestnanci_a_mzdy'!A1" display="Tabuľka 6"/>
    <hyperlink ref="A17" location="'T8-Soc_štipendiá'!A1" display="Tabuľka 8"/>
    <hyperlink ref="A18" location="'T9_ŠD '!A1" display="Tabuľka 9"/>
    <hyperlink ref="A19" location="'T10-ŠJ '!A1" display="Tabuľka 10"/>
    <hyperlink ref="A20" location="'T11-Zdroje KV'!A1" display="Tabuľka 11"/>
    <hyperlink ref="A21" location="'T12-KV'!A1" display="Tabuľka 12"/>
    <hyperlink ref="A22" location="'T13-Fondy'!A1" display="Tabuľka 13"/>
    <hyperlink ref="A23" location="'T16 - Štruktúra hotovosti'!A1" display="Tabuľka 16"/>
    <hyperlink ref="A24" location="'T17-Dotácie zo ŠF EU'!A1" display="Tabuľka 17"/>
    <hyperlink ref="A25" location="'T18-Ostatné dotacie z kap MŠ SR'!A1" display="Tabuľka 18"/>
    <hyperlink ref="A26" location="'T19-Štip_ z vlastných '!A1" display="Tabuľka 19"/>
    <hyperlink ref="A27" location="'T20_motivačné štipendiá_nová'!A1" display="Tabuľka 20"/>
    <hyperlink ref="A28" location="'T21-štruktúra_384'!A1" display="Tabuľka 21"/>
    <hyperlink ref="A5" location="Súvzťažnosti!A1" display="Súvzťažnosti"/>
    <hyperlink ref="A4" location="Vysvetlivky!A1" display="Vysvetlivky"/>
    <hyperlink ref="A29" location="T22_Výnosy_soc_oblasť!Oblasť_tlače" display="Tabuľka_22"/>
    <hyperlink ref="A30" location="T23_Náklady_soc_oblasť!A1" display="Tabuľka_­23"/>
    <hyperlink ref="A33" location="'T25_Pasíva '!A1" display="'Tabuľka_25"/>
    <hyperlink ref="A16" location="'T7_Doktorandi '!A1" display="Tabuľka 7"/>
    <hyperlink ref="A31" location="T24a_Aktíva_1!A1" display="Tabuľka 24a"/>
    <hyperlink ref="A32" location="T24b_Aktíva_2!A1" display="Tabuľka 24b"/>
    <hyperlink ref="A6" location="'Kódy z CRŠ'!A1" display="Kódy z CRŠ"/>
    <hyperlink ref="A15" location="'T6a-Zamestnanci_a_mzdy (ženy)'!A1" display="Tabuľka 6a"/>
    <hyperlink ref="A13" location="'T5a - Náklady '!A1" display="Tabuľka 5a"/>
    <hyperlink ref="A10" location="'T3a-Výnosy'!A1" display="Tabuľka 3a"/>
  </hyperlinks>
  <pageMargins left="0.70866141732283472" right="0.43307086614173229" top="0.47244094488188981" bottom="0.23622047244094491" header="0.23622047244094491" footer="0.19685039370078741"/>
  <pageSetup paperSize="9" scale="7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70" zoomScaleNormal="70" workbookViewId="0">
      <selection activeCell="G14" sqref="G14"/>
    </sheetView>
  </sheetViews>
  <sheetFormatPr defaultColWidth="9.140625" defaultRowHeight="15.75" x14ac:dyDescent="0.25"/>
  <cols>
    <col min="1" max="1" width="7.85546875" style="3" customWidth="1"/>
    <col min="2" max="2" width="89" style="6" customWidth="1"/>
    <col min="3" max="3" width="16.85546875" style="644" customWidth="1"/>
    <col min="4" max="4" width="17.42578125" style="1" customWidth="1"/>
    <col min="5" max="5" width="10" style="1" customWidth="1"/>
    <col min="6" max="6" width="14.5703125" style="1" customWidth="1"/>
    <col min="7" max="9" width="9.140625" style="1"/>
    <col min="10" max="10" width="37" style="1" customWidth="1"/>
    <col min="11" max="16384" width="9.140625" style="1"/>
  </cols>
  <sheetData>
    <row r="1" spans="1:10" ht="45.75" customHeight="1" thickBot="1" x14ac:dyDescent="0.3">
      <c r="A1" s="926" t="s">
        <v>1262</v>
      </c>
      <c r="B1" s="927"/>
      <c r="C1" s="927"/>
      <c r="D1" s="928"/>
    </row>
    <row r="2" spans="1:10" ht="37.5" customHeight="1" x14ac:dyDescent="0.25">
      <c r="A2" s="923" t="s">
        <v>1522</v>
      </c>
      <c r="B2" s="924"/>
      <c r="C2" s="924"/>
      <c r="D2" s="925"/>
    </row>
    <row r="3" spans="1:10" s="10" customFormat="1" ht="31.5" x14ac:dyDescent="0.25">
      <c r="A3" s="581" t="s">
        <v>228</v>
      </c>
      <c r="B3" s="582" t="s">
        <v>359</v>
      </c>
      <c r="C3" s="648">
        <v>2014</v>
      </c>
      <c r="D3" s="462">
        <v>2015</v>
      </c>
    </row>
    <row r="4" spans="1:10" s="10" customFormat="1" x14ac:dyDescent="0.25">
      <c r="A4" s="581"/>
      <c r="B4" s="582"/>
      <c r="C4" s="642" t="s">
        <v>314</v>
      </c>
      <c r="D4" s="462" t="s">
        <v>315</v>
      </c>
      <c r="F4" s="90"/>
    </row>
    <row r="5" spans="1:10" x14ac:dyDescent="0.25">
      <c r="A5" s="32">
        <v>1</v>
      </c>
      <c r="B5" s="367" t="s">
        <v>1121</v>
      </c>
      <c r="C5" s="645">
        <f>SUM(C6:C10)</f>
        <v>1423919</v>
      </c>
      <c r="D5" s="651">
        <f>SUM(D6:D10)</f>
        <v>1782909.06</v>
      </c>
      <c r="E5" s="747"/>
      <c r="F5" s="836"/>
      <c r="G5" s="328"/>
      <c r="H5" s="328"/>
    </row>
    <row r="6" spans="1:10" x14ac:dyDescent="0.25">
      <c r="A6" s="32">
        <v>2</v>
      </c>
      <c r="B6" s="368" t="s">
        <v>1444</v>
      </c>
      <c r="C6" s="646">
        <v>2500</v>
      </c>
      <c r="D6" s="653">
        <v>3500</v>
      </c>
      <c r="E6" s="483"/>
      <c r="F6" s="10"/>
      <c r="G6" s="328"/>
      <c r="J6" s="303"/>
    </row>
    <row r="7" spans="1:10" x14ac:dyDescent="0.25">
      <c r="A7" s="32">
        <v>3</v>
      </c>
      <c r="B7" s="368" t="s">
        <v>1130</v>
      </c>
      <c r="C7" s="647">
        <v>1106202.01</v>
      </c>
      <c r="D7" s="653">
        <v>1357932.06</v>
      </c>
      <c r="G7" s="328"/>
    </row>
    <row r="8" spans="1:10" x14ac:dyDescent="0.25">
      <c r="A8" s="32">
        <v>4</v>
      </c>
      <c r="B8" s="368" t="s">
        <v>1441</v>
      </c>
      <c r="C8" s="647">
        <v>49500</v>
      </c>
      <c r="D8" s="653">
        <v>207863</v>
      </c>
      <c r="G8" s="328"/>
    </row>
    <row r="9" spans="1:10" x14ac:dyDescent="0.25">
      <c r="A9" s="325">
        <v>5</v>
      </c>
      <c r="B9" s="368" t="s">
        <v>1131</v>
      </c>
      <c r="C9" s="647">
        <v>134575</v>
      </c>
      <c r="D9" s="653">
        <v>133806</v>
      </c>
      <c r="G9" s="328"/>
    </row>
    <row r="10" spans="1:10" ht="18.75" x14ac:dyDescent="0.25">
      <c r="A10" s="325">
        <v>6</v>
      </c>
      <c r="B10" s="430" t="s">
        <v>1263</v>
      </c>
      <c r="C10" s="647">
        <v>131141.99</v>
      </c>
      <c r="D10" s="647">
        <v>79808</v>
      </c>
      <c r="G10" s="328"/>
    </row>
    <row r="11" spans="1:10" x14ac:dyDescent="0.25">
      <c r="A11" s="32">
        <v>7</v>
      </c>
      <c r="B11" s="45" t="s">
        <v>1122</v>
      </c>
      <c r="C11" s="649">
        <f>SUM(C12:C17)</f>
        <v>738633.42</v>
      </c>
      <c r="D11" s="649">
        <f>SUM(D12:D17)</f>
        <v>560598.83000000007</v>
      </c>
      <c r="E11" s="746"/>
      <c r="F11" s="721"/>
    </row>
    <row r="12" spans="1:10" x14ac:dyDescent="0.25">
      <c r="A12" s="32">
        <v>8</v>
      </c>
      <c r="B12" s="26" t="s">
        <v>1008</v>
      </c>
      <c r="C12" s="646">
        <v>601107.53</v>
      </c>
      <c r="D12" s="652">
        <v>371928.82</v>
      </c>
    </row>
    <row r="13" spans="1:10" x14ac:dyDescent="0.25">
      <c r="A13" s="32">
        <v>9</v>
      </c>
      <c r="B13" s="26" t="s">
        <v>1009</v>
      </c>
      <c r="C13" s="646">
        <v>0</v>
      </c>
      <c r="D13" s="652">
        <v>0</v>
      </c>
    </row>
    <row r="14" spans="1:10" x14ac:dyDescent="0.25">
      <c r="A14" s="32">
        <v>10</v>
      </c>
      <c r="B14" s="26" t="s">
        <v>1010</v>
      </c>
      <c r="C14" s="646">
        <v>0</v>
      </c>
      <c r="D14" s="652">
        <v>0</v>
      </c>
      <c r="E14" s="303"/>
    </row>
    <row r="15" spans="1:10" x14ac:dyDescent="0.25">
      <c r="A15" s="32">
        <v>11</v>
      </c>
      <c r="B15" s="46" t="s">
        <v>1138</v>
      </c>
      <c r="C15" s="646">
        <v>137525.89000000001</v>
      </c>
      <c r="D15" s="652">
        <v>184690.8</v>
      </c>
      <c r="E15" s="303" t="s">
        <v>1264</v>
      </c>
    </row>
    <row r="16" spans="1:10" ht="31.5" x14ac:dyDescent="0.25">
      <c r="A16" s="32">
        <v>12</v>
      </c>
      <c r="B16" s="46" t="s">
        <v>1247</v>
      </c>
      <c r="C16" s="643" t="s">
        <v>345</v>
      </c>
      <c r="D16" s="652">
        <v>1739.93</v>
      </c>
      <c r="E16" s="44"/>
      <c r="F16" s="319"/>
      <c r="G16" s="319"/>
      <c r="H16" s="319"/>
      <c r="J16" s="485"/>
    </row>
    <row r="17" spans="1:10" x14ac:dyDescent="0.25">
      <c r="A17" s="32">
        <v>13</v>
      </c>
      <c r="B17" s="46" t="s">
        <v>1248</v>
      </c>
      <c r="C17" s="643" t="s">
        <v>345</v>
      </c>
      <c r="D17" s="652">
        <v>2239.2800000000002</v>
      </c>
      <c r="E17" s="44"/>
      <c r="F17" s="319"/>
      <c r="G17" s="319"/>
      <c r="H17" s="319"/>
      <c r="J17" s="485"/>
    </row>
    <row r="18" spans="1:10" x14ac:dyDescent="0.25">
      <c r="A18" s="32">
        <v>14</v>
      </c>
      <c r="B18" s="63" t="s">
        <v>270</v>
      </c>
      <c r="C18" s="649">
        <f>(C6+C7)*0.2</f>
        <v>221740.402</v>
      </c>
      <c r="D18" s="649">
        <f>(D6+D7)*0.2</f>
        <v>272286.41200000001</v>
      </c>
    </row>
    <row r="19" spans="1:10" ht="16.5" thickBot="1" x14ac:dyDescent="0.3">
      <c r="A19" s="33">
        <v>15</v>
      </c>
      <c r="B19" s="64" t="s">
        <v>365</v>
      </c>
      <c r="C19" s="650">
        <v>233815.64</v>
      </c>
      <c r="D19" s="650">
        <v>231899.73</v>
      </c>
      <c r="E19" s="718"/>
    </row>
    <row r="20" spans="1:10" x14ac:dyDescent="0.25">
      <c r="B20" s="9"/>
    </row>
    <row r="21" spans="1:10" ht="18.75" x14ac:dyDescent="0.25">
      <c r="A21" s="385"/>
      <c r="B21" s="552" t="s">
        <v>1249</v>
      </c>
    </row>
    <row r="22" spans="1:10" x14ac:dyDescent="0.25">
      <c r="B22" s="475"/>
    </row>
    <row r="23" spans="1:10" ht="31.5" x14ac:dyDescent="0.25">
      <c r="B23" s="476" t="s">
        <v>1473</v>
      </c>
    </row>
    <row r="24" spans="1:10" x14ac:dyDescent="0.25">
      <c r="B24" s="9"/>
    </row>
    <row r="25" spans="1:10" x14ac:dyDescent="0.25">
      <c r="B25" s="9"/>
    </row>
    <row r="26" spans="1:10" x14ac:dyDescent="0.25">
      <c r="B26" s="9"/>
    </row>
    <row r="27" spans="1:10" x14ac:dyDescent="0.25">
      <c r="B27" s="9"/>
    </row>
    <row r="28" spans="1:10" x14ac:dyDescent="0.25">
      <c r="B28" s="9"/>
    </row>
  </sheetData>
  <mergeCells count="2">
    <mergeCell ref="A1:D1"/>
    <mergeCell ref="A2:D2"/>
  </mergeCells>
  <pageMargins left="0.70866141732283472" right="0.2" top="0.74803149606299213" bottom="0.74803149606299213"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N989"/>
  <sheetViews>
    <sheetView zoomScale="70" zoomScaleNormal="70" zoomScaleSheetLayoutView="80" workbookViewId="0">
      <pane xSplit="2" ySplit="5" topLeftCell="D6" activePane="bottomRight" state="frozen"/>
      <selection pane="topRight" activeCell="C1" sqref="C1"/>
      <selection pane="bottomLeft" activeCell="A6" sqref="A6"/>
      <selection pane="bottomRight" activeCell="E102" sqref="E102:F102"/>
    </sheetView>
  </sheetViews>
  <sheetFormatPr defaultColWidth="9.140625" defaultRowHeight="15.75" x14ac:dyDescent="0.25"/>
  <cols>
    <col min="1" max="1" width="9.5703125" style="3" customWidth="1"/>
    <col min="2" max="2" width="83.140625" style="128" customWidth="1"/>
    <col min="3" max="3" width="18" style="1" customWidth="1"/>
    <col min="4" max="7" width="17" style="1" customWidth="1"/>
    <col min="8" max="8" width="18" style="1" customWidth="1"/>
    <col min="9" max="9" width="14" style="1" bestFit="1" customWidth="1"/>
    <col min="10" max="10" width="15.28515625" style="1" bestFit="1" customWidth="1"/>
    <col min="11" max="11" width="16.42578125" style="1" bestFit="1" customWidth="1"/>
    <col min="12" max="12" width="14.140625" style="1" bestFit="1" customWidth="1"/>
    <col min="13" max="16384" width="9.140625" style="1"/>
  </cols>
  <sheetData>
    <row r="1" spans="1:8" ht="35.1" customHeight="1" thickBot="1" x14ac:dyDescent="0.3">
      <c r="A1" s="966" t="s">
        <v>1265</v>
      </c>
      <c r="B1" s="967"/>
      <c r="C1" s="967"/>
      <c r="D1" s="967"/>
      <c r="E1" s="967"/>
      <c r="F1" s="967"/>
      <c r="G1" s="967"/>
      <c r="H1" s="968"/>
    </row>
    <row r="2" spans="1:8" ht="32.450000000000003" customHeight="1" x14ac:dyDescent="0.25">
      <c r="A2" s="969" t="s">
        <v>1523</v>
      </c>
      <c r="B2" s="970"/>
      <c r="C2" s="970"/>
      <c r="D2" s="970"/>
      <c r="E2" s="970"/>
      <c r="F2" s="970"/>
      <c r="G2" s="970"/>
      <c r="H2" s="971"/>
    </row>
    <row r="3" spans="1:8" s="10" customFormat="1" ht="31.5" customHeight="1" x14ac:dyDescent="0.25">
      <c r="A3" s="938" t="s">
        <v>228</v>
      </c>
      <c r="B3" s="939" t="s">
        <v>359</v>
      </c>
      <c r="C3" s="972">
        <v>2014</v>
      </c>
      <c r="D3" s="972"/>
      <c r="E3" s="972">
        <v>2015</v>
      </c>
      <c r="F3" s="972"/>
      <c r="G3" s="941" t="s">
        <v>1260</v>
      </c>
      <c r="H3" s="943"/>
    </row>
    <row r="4" spans="1:8" ht="31.5" customHeight="1" x14ac:dyDescent="0.25">
      <c r="A4" s="938"/>
      <c r="B4" s="940"/>
      <c r="C4" s="615" t="s">
        <v>360</v>
      </c>
      <c r="D4" s="615" t="s">
        <v>361</v>
      </c>
      <c r="E4" s="615" t="s">
        <v>360</v>
      </c>
      <c r="F4" s="615" t="s">
        <v>361</v>
      </c>
      <c r="G4" s="615" t="s">
        <v>360</v>
      </c>
      <c r="H4" s="616" t="s">
        <v>361</v>
      </c>
    </row>
    <row r="5" spans="1:8" x14ac:dyDescent="0.25">
      <c r="A5" s="32"/>
      <c r="B5" s="429"/>
      <c r="C5" s="39" t="s">
        <v>314</v>
      </c>
      <c r="D5" s="39" t="s">
        <v>315</v>
      </c>
      <c r="E5" s="39" t="s">
        <v>316</v>
      </c>
      <c r="F5" s="39" t="s">
        <v>323</v>
      </c>
      <c r="G5" s="39" t="s">
        <v>34</v>
      </c>
      <c r="H5" s="77" t="s">
        <v>35</v>
      </c>
    </row>
    <row r="6" spans="1:8" x14ac:dyDescent="0.25">
      <c r="A6" s="32">
        <v>1</v>
      </c>
      <c r="B6" s="427" t="s">
        <v>1068</v>
      </c>
      <c r="C6" s="649">
        <f>SUM(C7:C18)</f>
        <v>4429832.32</v>
      </c>
      <c r="D6" s="649">
        <f>SUM(D7:D18)</f>
        <v>526753.49</v>
      </c>
      <c r="E6" s="649">
        <f>SUM(E7:E18)</f>
        <v>4147897.9200000004</v>
      </c>
      <c r="F6" s="649">
        <f>SUM(F7:F18)</f>
        <v>590395.25</v>
      </c>
      <c r="G6" s="60">
        <f>E6-C6</f>
        <v>-281934.39999999991</v>
      </c>
      <c r="H6" s="139">
        <f>F6-D6</f>
        <v>63641.760000000009</v>
      </c>
    </row>
    <row r="7" spans="1:8" ht="17.25" customHeight="1" x14ac:dyDescent="0.25">
      <c r="A7" s="32">
        <f>A6+1</f>
        <v>2</v>
      </c>
      <c r="B7" s="424" t="s">
        <v>1032</v>
      </c>
      <c r="C7" s="646">
        <v>126614.77</v>
      </c>
      <c r="D7" s="646">
        <v>2687.75</v>
      </c>
      <c r="E7" s="646">
        <v>107934.1</v>
      </c>
      <c r="F7" s="646">
        <v>6692.39</v>
      </c>
      <c r="G7" s="147">
        <f>E7-C7</f>
        <v>-18680.669999999998</v>
      </c>
      <c r="H7" s="148">
        <f>F7-D7</f>
        <v>4004.6400000000003</v>
      </c>
    </row>
    <row r="8" spans="1:8" ht="30.6" customHeight="1" x14ac:dyDescent="0.25">
      <c r="A8" s="32">
        <f t="shared" ref="A8:A71" si="0">A7+1</f>
        <v>3</v>
      </c>
      <c r="B8" s="428" t="s">
        <v>122</v>
      </c>
      <c r="C8" s="646">
        <v>492539.49</v>
      </c>
      <c r="D8" s="646">
        <v>16548.2</v>
      </c>
      <c r="E8" s="646">
        <v>280659.82</v>
      </c>
      <c r="F8" s="646">
        <v>9519.34</v>
      </c>
      <c r="G8" s="147">
        <f t="shared" ref="G8:H71" si="1">E8-C8</f>
        <v>-211879.66999999998</v>
      </c>
      <c r="H8" s="148">
        <f t="shared" si="1"/>
        <v>-7028.8600000000006</v>
      </c>
    </row>
    <row r="9" spans="1:8" x14ac:dyDescent="0.25">
      <c r="A9" s="32">
        <f t="shared" si="0"/>
        <v>4</v>
      </c>
      <c r="B9" s="424" t="s">
        <v>1033</v>
      </c>
      <c r="C9" s="646">
        <v>479904.99</v>
      </c>
      <c r="D9" s="646">
        <v>45656.480000000003</v>
      </c>
      <c r="E9" s="646">
        <v>412351.69</v>
      </c>
      <c r="F9" s="646">
        <v>71203.22</v>
      </c>
      <c r="G9" s="147">
        <f t="shared" si="1"/>
        <v>-67553.299999999988</v>
      </c>
      <c r="H9" s="148">
        <f t="shared" si="1"/>
        <v>25546.739999999998</v>
      </c>
    </row>
    <row r="10" spans="1:8" x14ac:dyDescent="0.25">
      <c r="A10" s="32">
        <f t="shared" si="0"/>
        <v>5</v>
      </c>
      <c r="B10" s="424" t="s">
        <v>1034</v>
      </c>
      <c r="C10" s="646">
        <v>39667.269999999997</v>
      </c>
      <c r="D10" s="646">
        <v>3302.54</v>
      </c>
      <c r="E10" s="646">
        <v>37448.36</v>
      </c>
      <c r="F10" s="646">
        <v>4196.17</v>
      </c>
      <c r="G10" s="147">
        <f t="shared" si="1"/>
        <v>-2218.9099999999962</v>
      </c>
      <c r="H10" s="148">
        <f t="shared" si="1"/>
        <v>893.63000000000011</v>
      </c>
    </row>
    <row r="11" spans="1:8" x14ac:dyDescent="0.25">
      <c r="A11" s="32">
        <f t="shared" si="0"/>
        <v>6</v>
      </c>
      <c r="B11" s="424" t="s">
        <v>1035</v>
      </c>
      <c r="C11" s="646">
        <v>50865.26</v>
      </c>
      <c r="D11" s="646">
        <v>14893.26</v>
      </c>
      <c r="E11" s="646">
        <v>42641.69</v>
      </c>
      <c r="F11" s="646">
        <v>12405.47</v>
      </c>
      <c r="G11" s="147">
        <f t="shared" si="1"/>
        <v>-8223.57</v>
      </c>
      <c r="H11" s="148">
        <f t="shared" si="1"/>
        <v>-2487.7900000000009</v>
      </c>
    </row>
    <row r="12" spans="1:8" x14ac:dyDescent="0.25">
      <c r="A12" s="32">
        <f t="shared" si="0"/>
        <v>7</v>
      </c>
      <c r="B12" s="424" t="s">
        <v>1036</v>
      </c>
      <c r="C12" s="646">
        <v>115175.74</v>
      </c>
      <c r="D12" s="646">
        <v>29354.05</v>
      </c>
      <c r="E12" s="646">
        <v>141666.48000000001</v>
      </c>
      <c r="F12" s="646">
        <v>39071.760000000002</v>
      </c>
      <c r="G12" s="147">
        <f t="shared" si="1"/>
        <v>26490.740000000005</v>
      </c>
      <c r="H12" s="148">
        <f t="shared" si="1"/>
        <v>9717.7100000000028</v>
      </c>
    </row>
    <row r="13" spans="1:8" ht="31.5" x14ac:dyDescent="0.25">
      <c r="A13" s="32">
        <f t="shared" si="0"/>
        <v>8</v>
      </c>
      <c r="B13" s="424" t="s">
        <v>123</v>
      </c>
      <c r="C13" s="646">
        <v>150359.53</v>
      </c>
      <c r="D13" s="646">
        <v>36903.86</v>
      </c>
      <c r="E13" s="646">
        <v>202686.07999999999</v>
      </c>
      <c r="F13" s="646">
        <v>37708.949999999997</v>
      </c>
      <c r="G13" s="147">
        <f t="shared" si="1"/>
        <v>52326.549999999988</v>
      </c>
      <c r="H13" s="148">
        <f t="shared" si="1"/>
        <v>805.08999999999651</v>
      </c>
    </row>
    <row r="14" spans="1:8" x14ac:dyDescent="0.25">
      <c r="A14" s="32">
        <f t="shared" si="0"/>
        <v>9</v>
      </c>
      <c r="B14" s="424" t="s">
        <v>124</v>
      </c>
      <c r="C14" s="646">
        <v>488740.29</v>
      </c>
      <c r="D14" s="646">
        <v>158162.75</v>
      </c>
      <c r="E14" s="646">
        <v>515137.42</v>
      </c>
      <c r="F14" s="646">
        <v>233272.04</v>
      </c>
      <c r="G14" s="147">
        <f t="shared" si="1"/>
        <v>26397.130000000005</v>
      </c>
      <c r="H14" s="148">
        <f t="shared" si="1"/>
        <v>75109.290000000008</v>
      </c>
    </row>
    <row r="15" spans="1:8" x14ac:dyDescent="0.25">
      <c r="A15" s="32">
        <f t="shared" si="0"/>
        <v>10</v>
      </c>
      <c r="B15" s="430" t="s">
        <v>125</v>
      </c>
      <c r="C15" s="646">
        <v>1077447.69</v>
      </c>
      <c r="D15" s="646">
        <v>48738.68</v>
      </c>
      <c r="E15" s="646">
        <v>773773.6</v>
      </c>
      <c r="F15" s="646">
        <v>17523.98</v>
      </c>
      <c r="G15" s="147">
        <f t="shared" si="1"/>
        <v>-303674.08999999997</v>
      </c>
      <c r="H15" s="148">
        <f t="shared" si="1"/>
        <v>-31214.7</v>
      </c>
    </row>
    <row r="16" spans="1:8" ht="16.350000000000001" customHeight="1" x14ac:dyDescent="0.25">
      <c r="A16" s="32">
        <f t="shared" si="0"/>
        <v>11</v>
      </c>
      <c r="B16" s="424" t="s">
        <v>126</v>
      </c>
      <c r="C16" s="646">
        <v>244116.38</v>
      </c>
      <c r="D16" s="646">
        <v>62397.19</v>
      </c>
      <c r="E16" s="646">
        <v>548135.43000000005</v>
      </c>
      <c r="F16" s="646">
        <v>31143.53</v>
      </c>
      <c r="G16" s="147">
        <f t="shared" si="1"/>
        <v>304019.05000000005</v>
      </c>
      <c r="H16" s="148">
        <f t="shared" si="1"/>
        <v>-31253.660000000003</v>
      </c>
    </row>
    <row r="17" spans="1:8" x14ac:dyDescent="0.25">
      <c r="A17" s="32">
        <f t="shared" si="0"/>
        <v>12</v>
      </c>
      <c r="B17" s="430" t="s">
        <v>873</v>
      </c>
      <c r="C17" s="646">
        <v>812030.07</v>
      </c>
      <c r="D17" s="646">
        <v>36744.82</v>
      </c>
      <c r="E17" s="646">
        <v>574197.75</v>
      </c>
      <c r="F17" s="646">
        <v>49671.4</v>
      </c>
      <c r="G17" s="147">
        <f t="shared" si="1"/>
        <v>-237832.31999999995</v>
      </c>
      <c r="H17" s="148">
        <f t="shared" si="1"/>
        <v>12926.580000000002</v>
      </c>
    </row>
    <row r="18" spans="1:8" x14ac:dyDescent="0.25">
      <c r="A18" s="32">
        <f t="shared" si="0"/>
        <v>13</v>
      </c>
      <c r="B18" s="424" t="s">
        <v>1037</v>
      </c>
      <c r="C18" s="646">
        <v>352370.84</v>
      </c>
      <c r="D18" s="646">
        <v>71363.91</v>
      </c>
      <c r="E18" s="646">
        <v>511265.5</v>
      </c>
      <c r="F18" s="646">
        <v>77987</v>
      </c>
      <c r="G18" s="147">
        <f t="shared" si="1"/>
        <v>158894.65999999997</v>
      </c>
      <c r="H18" s="148">
        <f t="shared" si="1"/>
        <v>6623.0899999999965</v>
      </c>
    </row>
    <row r="19" spans="1:8" x14ac:dyDescent="0.25">
      <c r="A19" s="32">
        <f t="shared" si="0"/>
        <v>14</v>
      </c>
      <c r="B19" s="427" t="s">
        <v>1069</v>
      </c>
      <c r="C19" s="649">
        <f>SUM(C20:C25)</f>
        <v>4996863.7299999995</v>
      </c>
      <c r="D19" s="649">
        <f>SUM(D20:D25)</f>
        <v>613927</v>
      </c>
      <c r="E19" s="649">
        <f>SUM(E20:E25)</f>
        <v>4910395.18</v>
      </c>
      <c r="F19" s="649">
        <f>SUM(F20:F25)</f>
        <v>656415.07999999996</v>
      </c>
      <c r="G19" s="60">
        <f t="shared" si="1"/>
        <v>-86468.549999999814</v>
      </c>
      <c r="H19" s="139">
        <f t="shared" si="1"/>
        <v>42488.079999999958</v>
      </c>
    </row>
    <row r="20" spans="1:8" x14ac:dyDescent="0.25">
      <c r="A20" s="32">
        <f t="shared" si="0"/>
        <v>15</v>
      </c>
      <c r="B20" s="424" t="s">
        <v>1038</v>
      </c>
      <c r="C20" s="646">
        <v>1774396.21</v>
      </c>
      <c r="D20" s="646">
        <v>221776.13</v>
      </c>
      <c r="E20" s="646">
        <v>1326896.6100000001</v>
      </c>
      <c r="F20" s="646">
        <v>200610.02</v>
      </c>
      <c r="G20" s="147">
        <f t="shared" si="1"/>
        <v>-447499.59999999986</v>
      </c>
      <c r="H20" s="148">
        <f t="shared" si="1"/>
        <v>-21166.110000000015</v>
      </c>
    </row>
    <row r="21" spans="1:8" x14ac:dyDescent="0.25">
      <c r="A21" s="32">
        <f t="shared" si="0"/>
        <v>16</v>
      </c>
      <c r="B21" s="424" t="s">
        <v>1039</v>
      </c>
      <c r="C21" s="646">
        <v>2658045.2000000002</v>
      </c>
      <c r="D21" s="646">
        <v>104210.11</v>
      </c>
      <c r="E21" s="646">
        <v>3077979.36</v>
      </c>
      <c r="F21" s="646">
        <v>99897.37</v>
      </c>
      <c r="G21" s="147">
        <f t="shared" si="1"/>
        <v>419934.15999999968</v>
      </c>
      <c r="H21" s="148">
        <f t="shared" si="1"/>
        <v>-4312.7400000000052</v>
      </c>
    </row>
    <row r="22" spans="1:8" x14ac:dyDescent="0.25">
      <c r="A22" s="32">
        <f t="shared" si="0"/>
        <v>17</v>
      </c>
      <c r="B22" s="424" t="s">
        <v>1040</v>
      </c>
      <c r="C22" s="646">
        <v>306007.62</v>
      </c>
      <c r="D22" s="646">
        <v>52029.31</v>
      </c>
      <c r="E22" s="646">
        <v>295945.90000000002</v>
      </c>
      <c r="F22" s="646">
        <v>56439.08</v>
      </c>
      <c r="G22" s="147">
        <f t="shared" si="1"/>
        <v>-10061.719999999972</v>
      </c>
      <c r="H22" s="148">
        <f t="shared" si="1"/>
        <v>4409.7700000000041</v>
      </c>
    </row>
    <row r="23" spans="1:8" x14ac:dyDescent="0.25">
      <c r="A23" s="32">
        <f t="shared" si="0"/>
        <v>18</v>
      </c>
      <c r="B23" s="424" t="s">
        <v>1041</v>
      </c>
      <c r="C23" s="646">
        <v>253815.97</v>
      </c>
      <c r="D23" s="646">
        <v>199080.27</v>
      </c>
      <c r="E23" s="646">
        <v>209454.13</v>
      </c>
      <c r="F23" s="646">
        <v>272516.01</v>
      </c>
      <c r="G23" s="147">
        <f t="shared" si="1"/>
        <v>-44361.84</v>
      </c>
      <c r="H23" s="148">
        <f t="shared" si="1"/>
        <v>73435.74000000002</v>
      </c>
    </row>
    <row r="24" spans="1:8" x14ac:dyDescent="0.25">
      <c r="A24" s="32">
        <f t="shared" si="0"/>
        <v>19</v>
      </c>
      <c r="B24" s="424" t="s">
        <v>1042</v>
      </c>
      <c r="C24" s="646">
        <v>69.930000000000007</v>
      </c>
      <c r="D24" s="646"/>
      <c r="E24" s="646">
        <v>119.18</v>
      </c>
      <c r="F24" s="646">
        <v>0</v>
      </c>
      <c r="G24" s="147">
        <f t="shared" si="1"/>
        <v>49.25</v>
      </c>
      <c r="H24" s="148">
        <f t="shared" si="1"/>
        <v>0</v>
      </c>
    </row>
    <row r="25" spans="1:8" x14ac:dyDescent="0.25">
      <c r="A25" s="32">
        <f t="shared" si="0"/>
        <v>20</v>
      </c>
      <c r="B25" s="424" t="s">
        <v>851</v>
      </c>
      <c r="C25" s="646">
        <v>4528.8</v>
      </c>
      <c r="D25" s="646">
        <v>36831.18</v>
      </c>
      <c r="E25" s="646">
        <v>0</v>
      </c>
      <c r="F25" s="646">
        <v>26952.6</v>
      </c>
      <c r="G25" s="147">
        <f t="shared" si="1"/>
        <v>-4528.8</v>
      </c>
      <c r="H25" s="148">
        <f t="shared" si="1"/>
        <v>-9878.5800000000017</v>
      </c>
    </row>
    <row r="26" spans="1:8" x14ac:dyDescent="0.25">
      <c r="A26" s="32">
        <f t="shared" si="0"/>
        <v>21</v>
      </c>
      <c r="B26" s="427" t="s">
        <v>354</v>
      </c>
      <c r="C26" s="654" t="s">
        <v>345</v>
      </c>
      <c r="D26" s="654" t="s">
        <v>345</v>
      </c>
      <c r="E26" s="654" t="s">
        <v>345</v>
      </c>
      <c r="F26" s="654" t="s">
        <v>345</v>
      </c>
      <c r="G26" s="65" t="s">
        <v>179</v>
      </c>
      <c r="H26" s="140" t="s">
        <v>179</v>
      </c>
    </row>
    <row r="27" spans="1:8" x14ac:dyDescent="0.25">
      <c r="A27" s="32">
        <f t="shared" si="0"/>
        <v>22</v>
      </c>
      <c r="B27" s="427" t="s">
        <v>1070</v>
      </c>
      <c r="C27" s="649">
        <f>SUM(C28:C31)</f>
        <v>0</v>
      </c>
      <c r="D27" s="649">
        <f>SUM(D28:D31)</f>
        <v>49880.69</v>
      </c>
      <c r="E27" s="649">
        <f>SUM(E28:E31)</f>
        <v>0</v>
      </c>
      <c r="F27" s="649">
        <f>SUM(F28:F31)</f>
        <v>56025.950000000004</v>
      </c>
      <c r="G27" s="60">
        <f t="shared" si="1"/>
        <v>0</v>
      </c>
      <c r="H27" s="139">
        <f t="shared" si="1"/>
        <v>6145.260000000002</v>
      </c>
    </row>
    <row r="28" spans="1:8" x14ac:dyDescent="0.25">
      <c r="A28" s="32">
        <f t="shared" si="0"/>
        <v>23</v>
      </c>
      <c r="B28" s="424" t="s">
        <v>304</v>
      </c>
      <c r="C28" s="646"/>
      <c r="D28" s="646"/>
      <c r="E28" s="646">
        <v>0</v>
      </c>
      <c r="F28" s="646">
        <v>0</v>
      </c>
      <c r="G28" s="147">
        <f t="shared" si="1"/>
        <v>0</v>
      </c>
      <c r="H28" s="148">
        <f t="shared" si="1"/>
        <v>0</v>
      </c>
    </row>
    <row r="29" spans="1:8" x14ac:dyDescent="0.25">
      <c r="A29" s="32">
        <f t="shared" si="0"/>
        <v>24</v>
      </c>
      <c r="B29" s="428" t="s">
        <v>330</v>
      </c>
      <c r="C29" s="646"/>
      <c r="D29" s="646"/>
      <c r="E29" s="646">
        <v>0</v>
      </c>
      <c r="F29" s="646">
        <v>0</v>
      </c>
      <c r="G29" s="147">
        <f t="shared" si="1"/>
        <v>0</v>
      </c>
      <c r="H29" s="148">
        <f t="shared" si="1"/>
        <v>0</v>
      </c>
    </row>
    <row r="30" spans="1:8" x14ac:dyDescent="0.25">
      <c r="A30" s="32">
        <f t="shared" si="0"/>
        <v>25</v>
      </c>
      <c r="B30" s="428" t="s">
        <v>70</v>
      </c>
      <c r="C30" s="646"/>
      <c r="D30" s="646">
        <v>48421.48</v>
      </c>
      <c r="E30" s="646">
        <v>0</v>
      </c>
      <c r="F30" s="646">
        <v>51352.05</v>
      </c>
      <c r="G30" s="147">
        <f t="shared" si="1"/>
        <v>0</v>
      </c>
      <c r="H30" s="148">
        <f t="shared" si="1"/>
        <v>2930.5699999999997</v>
      </c>
    </row>
    <row r="31" spans="1:8" x14ac:dyDescent="0.25">
      <c r="A31" s="32">
        <f t="shared" si="0"/>
        <v>26</v>
      </c>
      <c r="B31" s="424" t="s">
        <v>71</v>
      </c>
      <c r="C31" s="646"/>
      <c r="D31" s="646">
        <v>1459.21</v>
      </c>
      <c r="E31" s="646">
        <v>0</v>
      </c>
      <c r="F31" s="646">
        <v>4673.8999999999996</v>
      </c>
      <c r="G31" s="147">
        <f t="shared" si="1"/>
        <v>0</v>
      </c>
      <c r="H31" s="148">
        <f t="shared" si="1"/>
        <v>3214.6899999999996</v>
      </c>
    </row>
    <row r="32" spans="1:8" x14ac:dyDescent="0.25">
      <c r="A32" s="32">
        <f t="shared" si="0"/>
        <v>27</v>
      </c>
      <c r="B32" s="427" t="s">
        <v>1071</v>
      </c>
      <c r="C32" s="649">
        <f>SUM(C33:C39)</f>
        <v>2587233.1399999997</v>
      </c>
      <c r="D32" s="649">
        <f>SUM(D33:D39)</f>
        <v>165339.66000000003</v>
      </c>
      <c r="E32" s="649">
        <f>SUM(E33:E39)</f>
        <v>3458661.4600000009</v>
      </c>
      <c r="F32" s="649">
        <f>SUM(F33:F39)</f>
        <v>240484.62</v>
      </c>
      <c r="G32" s="60">
        <f t="shared" si="1"/>
        <v>871428.32000000123</v>
      </c>
      <c r="H32" s="139">
        <f t="shared" si="1"/>
        <v>75144.959999999963</v>
      </c>
    </row>
    <row r="33" spans="1:8" x14ac:dyDescent="0.25">
      <c r="A33" s="32">
        <f t="shared" si="0"/>
        <v>28</v>
      </c>
      <c r="B33" s="424" t="s">
        <v>127</v>
      </c>
      <c r="C33" s="646">
        <v>1651361.9</v>
      </c>
      <c r="D33" s="646">
        <v>65373.2</v>
      </c>
      <c r="E33" s="646">
        <v>2737517.43</v>
      </c>
      <c r="F33" s="646">
        <v>121578.92</v>
      </c>
      <c r="G33" s="147">
        <f t="shared" si="1"/>
        <v>1086155.5300000003</v>
      </c>
      <c r="H33" s="148">
        <f t="shared" si="1"/>
        <v>56205.72</v>
      </c>
    </row>
    <row r="34" spans="1:8" x14ac:dyDescent="0.25">
      <c r="A34" s="32">
        <f t="shared" si="0"/>
        <v>29</v>
      </c>
      <c r="B34" s="424" t="s">
        <v>128</v>
      </c>
      <c r="C34" s="646">
        <v>377514.29</v>
      </c>
      <c r="D34" s="646">
        <v>60865.72</v>
      </c>
      <c r="E34" s="646">
        <v>243146.48</v>
      </c>
      <c r="F34" s="646">
        <v>65673.820000000007</v>
      </c>
      <c r="G34" s="147">
        <f t="shared" si="1"/>
        <v>-134367.80999999997</v>
      </c>
      <c r="H34" s="148">
        <f t="shared" si="1"/>
        <v>4808.1000000000058</v>
      </c>
    </row>
    <row r="35" spans="1:8" x14ac:dyDescent="0.25">
      <c r="A35" s="32">
        <f t="shared" si="0"/>
        <v>30</v>
      </c>
      <c r="B35" s="424" t="s">
        <v>129</v>
      </c>
      <c r="C35" s="646">
        <v>21206.2</v>
      </c>
      <c r="D35" s="646">
        <v>4932.53</v>
      </c>
      <c r="E35" s="646">
        <v>26171.200000000001</v>
      </c>
      <c r="F35" s="646">
        <v>8409.34</v>
      </c>
      <c r="G35" s="147">
        <f t="shared" si="1"/>
        <v>4965</v>
      </c>
      <c r="H35" s="148">
        <f t="shared" si="1"/>
        <v>3476.8100000000004</v>
      </c>
    </row>
    <row r="36" spans="1:8" x14ac:dyDescent="0.25">
      <c r="A36" s="32">
        <f t="shared" si="0"/>
        <v>31</v>
      </c>
      <c r="B36" s="424" t="s">
        <v>130</v>
      </c>
      <c r="C36" s="646">
        <v>334418.18</v>
      </c>
      <c r="D36" s="646">
        <v>16573.900000000001</v>
      </c>
      <c r="E36" s="646">
        <v>262319.33</v>
      </c>
      <c r="F36" s="646">
        <v>18750.330000000002</v>
      </c>
      <c r="G36" s="147">
        <f t="shared" si="1"/>
        <v>-72098.849999999977</v>
      </c>
      <c r="H36" s="148">
        <f t="shared" si="1"/>
        <v>2176.4300000000003</v>
      </c>
    </row>
    <row r="37" spans="1:8" x14ac:dyDescent="0.25">
      <c r="A37" s="32">
        <f t="shared" si="0"/>
        <v>32</v>
      </c>
      <c r="B37" s="430" t="s">
        <v>133</v>
      </c>
      <c r="C37" s="646">
        <v>25435.47</v>
      </c>
      <c r="D37" s="646">
        <v>392.07</v>
      </c>
      <c r="E37" s="646">
        <v>16655.490000000002</v>
      </c>
      <c r="F37" s="646">
        <v>0</v>
      </c>
      <c r="G37" s="147">
        <f t="shared" si="1"/>
        <v>-8779.98</v>
      </c>
      <c r="H37" s="148">
        <f t="shared" si="1"/>
        <v>-392.07</v>
      </c>
    </row>
    <row r="38" spans="1:8" x14ac:dyDescent="0.25">
      <c r="A38" s="32">
        <f t="shared" si="0"/>
        <v>33</v>
      </c>
      <c r="B38" s="562" t="s">
        <v>1118</v>
      </c>
      <c r="C38" s="646">
        <v>69351.839999999997</v>
      </c>
      <c r="D38" s="646">
        <v>5211.7</v>
      </c>
      <c r="E38" s="646">
        <v>87230.54</v>
      </c>
      <c r="F38" s="646">
        <v>12077.1</v>
      </c>
      <c r="G38" s="147">
        <f t="shared" si="1"/>
        <v>17878.699999999997</v>
      </c>
      <c r="H38" s="148">
        <f t="shared" si="1"/>
        <v>6865.4000000000005</v>
      </c>
    </row>
    <row r="39" spans="1:8" x14ac:dyDescent="0.25">
      <c r="A39" s="32">
        <f t="shared" si="0"/>
        <v>34</v>
      </c>
      <c r="B39" s="424" t="s">
        <v>134</v>
      </c>
      <c r="C39" s="646">
        <v>107945.26</v>
      </c>
      <c r="D39" s="646">
        <v>11990.54</v>
      </c>
      <c r="E39" s="646">
        <v>85620.99</v>
      </c>
      <c r="F39" s="646">
        <v>13995.11</v>
      </c>
      <c r="G39" s="147">
        <f t="shared" si="1"/>
        <v>-22324.26999999999</v>
      </c>
      <c r="H39" s="148">
        <f t="shared" si="1"/>
        <v>2004.5699999999997</v>
      </c>
    </row>
    <row r="40" spans="1:8" x14ac:dyDescent="0.25">
      <c r="A40" s="32">
        <f t="shared" si="0"/>
        <v>35</v>
      </c>
      <c r="B40" s="427" t="s">
        <v>1072</v>
      </c>
      <c r="C40" s="649">
        <f>C41+C42</f>
        <v>1620226.58</v>
      </c>
      <c r="D40" s="649">
        <f>D41+D42</f>
        <v>107719.56</v>
      </c>
      <c r="E40" s="649">
        <f>E41+E42</f>
        <v>1138275.81</v>
      </c>
      <c r="F40" s="649">
        <f>F41+F42</f>
        <v>99600.15</v>
      </c>
      <c r="G40" s="60">
        <f t="shared" si="1"/>
        <v>-481950.77</v>
      </c>
      <c r="H40" s="139">
        <f t="shared" si="1"/>
        <v>-8119.4100000000035</v>
      </c>
    </row>
    <row r="41" spans="1:8" x14ac:dyDescent="0.25">
      <c r="A41" s="32">
        <f t="shared" si="0"/>
        <v>36</v>
      </c>
      <c r="B41" s="424" t="s">
        <v>1043</v>
      </c>
      <c r="C41" s="646">
        <v>158430.62</v>
      </c>
      <c r="D41" s="646">
        <v>66450.12</v>
      </c>
      <c r="E41" s="646">
        <v>158051.35</v>
      </c>
      <c r="F41" s="646">
        <v>69850.97</v>
      </c>
      <c r="G41" s="147">
        <f t="shared" si="1"/>
        <v>-379.26999999998952</v>
      </c>
      <c r="H41" s="148">
        <f t="shared" si="1"/>
        <v>3400.8500000000058</v>
      </c>
    </row>
    <row r="42" spans="1:8" x14ac:dyDescent="0.25">
      <c r="A42" s="32">
        <f t="shared" si="0"/>
        <v>37</v>
      </c>
      <c r="B42" s="424" t="s">
        <v>1044</v>
      </c>
      <c r="C42" s="646">
        <v>1461795.96</v>
      </c>
      <c r="D42" s="646">
        <v>41269.440000000002</v>
      </c>
      <c r="E42" s="646">
        <v>980224.46</v>
      </c>
      <c r="F42" s="646">
        <v>29749.18</v>
      </c>
      <c r="G42" s="147">
        <f t="shared" si="1"/>
        <v>-481571.5</v>
      </c>
      <c r="H42" s="148">
        <f t="shared" si="1"/>
        <v>-11520.260000000002</v>
      </c>
    </row>
    <row r="43" spans="1:8" x14ac:dyDescent="0.25">
      <c r="A43" s="32">
        <f t="shared" si="0"/>
        <v>38</v>
      </c>
      <c r="B43" s="427" t="s">
        <v>355</v>
      </c>
      <c r="C43" s="655">
        <v>71238.83</v>
      </c>
      <c r="D43" s="655">
        <v>11727.23</v>
      </c>
      <c r="E43" s="655">
        <v>96249.11</v>
      </c>
      <c r="F43" s="655">
        <v>12862.97</v>
      </c>
      <c r="G43" s="147">
        <f t="shared" si="1"/>
        <v>25010.28</v>
      </c>
      <c r="H43" s="148">
        <f t="shared" si="1"/>
        <v>1135.7399999999998</v>
      </c>
    </row>
    <row r="44" spans="1:8" x14ac:dyDescent="0.25">
      <c r="A44" s="32">
        <f t="shared" si="0"/>
        <v>39</v>
      </c>
      <c r="B44" s="427" t="s">
        <v>1073</v>
      </c>
      <c r="C44" s="649">
        <f>SUM(C45:C59)</f>
        <v>5327585.01</v>
      </c>
      <c r="D44" s="649">
        <f>SUM(D45:D59)</f>
        <v>911890.82</v>
      </c>
      <c r="E44" s="649">
        <f>SUM(E45:E59)</f>
        <v>6847764.0099999998</v>
      </c>
      <c r="F44" s="649">
        <f>SUM(F45:F59)</f>
        <v>752933.21</v>
      </c>
      <c r="G44" s="60">
        <f t="shared" si="1"/>
        <v>1520179</v>
      </c>
      <c r="H44" s="139">
        <f t="shared" si="1"/>
        <v>-158957.60999999999</v>
      </c>
    </row>
    <row r="45" spans="1:8" x14ac:dyDescent="0.25">
      <c r="A45" s="32">
        <f t="shared" si="0"/>
        <v>40</v>
      </c>
      <c r="B45" s="424" t="s">
        <v>136</v>
      </c>
      <c r="C45" s="646">
        <v>55550.02</v>
      </c>
      <c r="D45" s="646">
        <v>9389.51</v>
      </c>
      <c r="E45" s="646">
        <v>29890.76</v>
      </c>
      <c r="F45" s="646">
        <v>1811.36</v>
      </c>
      <c r="G45" s="147">
        <f t="shared" si="1"/>
        <v>-25659.26</v>
      </c>
      <c r="H45" s="148">
        <f t="shared" si="1"/>
        <v>-7578.1500000000005</v>
      </c>
    </row>
    <row r="46" spans="1:8" x14ac:dyDescent="0.25">
      <c r="A46" s="32">
        <f t="shared" si="0"/>
        <v>41</v>
      </c>
      <c r="B46" s="424" t="s">
        <v>135</v>
      </c>
      <c r="C46" s="646">
        <v>87906.91</v>
      </c>
      <c r="D46" s="646">
        <v>3468.2</v>
      </c>
      <c r="E46" s="646">
        <v>51806.62</v>
      </c>
      <c r="F46" s="646">
        <v>15081.87</v>
      </c>
      <c r="G46" s="147">
        <f t="shared" si="1"/>
        <v>-36100.29</v>
      </c>
      <c r="H46" s="148">
        <f t="shared" si="1"/>
        <v>11613.670000000002</v>
      </c>
    </row>
    <row r="47" spans="1:8" x14ac:dyDescent="0.25">
      <c r="A47" s="32">
        <f t="shared" si="0"/>
        <v>42</v>
      </c>
      <c r="B47" s="424" t="s">
        <v>137</v>
      </c>
      <c r="C47" s="646">
        <v>571052.96</v>
      </c>
      <c r="D47" s="646">
        <v>36713.67</v>
      </c>
      <c r="E47" s="646">
        <v>593752.59</v>
      </c>
      <c r="F47" s="646">
        <v>30211.39</v>
      </c>
      <c r="G47" s="147">
        <f t="shared" si="1"/>
        <v>22699.630000000005</v>
      </c>
      <c r="H47" s="148">
        <f t="shared" si="1"/>
        <v>-6502.2799999999988</v>
      </c>
    </row>
    <row r="48" spans="1:8" x14ac:dyDescent="0.25">
      <c r="A48" s="32">
        <f t="shared" si="0"/>
        <v>43</v>
      </c>
      <c r="B48" s="424" t="s">
        <v>138</v>
      </c>
      <c r="C48" s="646">
        <v>423456.23</v>
      </c>
      <c r="D48" s="646">
        <v>7598.17</v>
      </c>
      <c r="E48" s="646">
        <v>335673.7</v>
      </c>
      <c r="F48" s="646">
        <v>9306.1299999999992</v>
      </c>
      <c r="G48" s="147">
        <f t="shared" si="1"/>
        <v>-87782.52999999997</v>
      </c>
      <c r="H48" s="148">
        <f t="shared" si="1"/>
        <v>1707.9599999999991</v>
      </c>
    </row>
    <row r="49" spans="1:12" x14ac:dyDescent="0.25">
      <c r="A49" s="32">
        <f t="shared" si="0"/>
        <v>44</v>
      </c>
      <c r="B49" s="424" t="s">
        <v>1045</v>
      </c>
      <c r="C49" s="646">
        <v>212970.9</v>
      </c>
      <c r="D49" s="646">
        <v>32143.75</v>
      </c>
      <c r="E49" s="646">
        <v>185514.78</v>
      </c>
      <c r="F49" s="646">
        <v>28997.83</v>
      </c>
      <c r="G49" s="147">
        <f t="shared" si="1"/>
        <v>-27456.119999999995</v>
      </c>
      <c r="H49" s="148">
        <f t="shared" si="1"/>
        <v>-3145.9199999999983</v>
      </c>
    </row>
    <row r="50" spans="1:12" x14ac:dyDescent="0.25">
      <c r="A50" s="32">
        <f t="shared" si="0"/>
        <v>45</v>
      </c>
      <c r="B50" s="424" t="s">
        <v>139</v>
      </c>
      <c r="C50" s="646">
        <v>48846.82</v>
      </c>
      <c r="D50" s="646">
        <v>3823.84</v>
      </c>
      <c r="E50" s="646">
        <v>90479.38</v>
      </c>
      <c r="F50" s="646">
        <v>7867.1</v>
      </c>
      <c r="G50" s="147">
        <f t="shared" si="1"/>
        <v>41632.560000000005</v>
      </c>
      <c r="H50" s="148">
        <f t="shared" si="1"/>
        <v>4043.26</v>
      </c>
    </row>
    <row r="51" spans="1:12" x14ac:dyDescent="0.25">
      <c r="A51" s="32">
        <f t="shared" si="0"/>
        <v>46</v>
      </c>
      <c r="B51" s="424" t="s">
        <v>1046</v>
      </c>
      <c r="C51" s="646">
        <v>72757.899999999994</v>
      </c>
      <c r="D51" s="646">
        <v>5537.96</v>
      </c>
      <c r="E51" s="646">
        <v>60387.61</v>
      </c>
      <c r="F51" s="646">
        <v>7887.19</v>
      </c>
      <c r="G51" s="147">
        <f t="shared" si="1"/>
        <v>-12370.289999999994</v>
      </c>
      <c r="H51" s="148">
        <f t="shared" si="1"/>
        <v>2349.2299999999996</v>
      </c>
    </row>
    <row r="52" spans="1:12" x14ac:dyDescent="0.25">
      <c r="A52" s="32">
        <f t="shared" si="0"/>
        <v>47</v>
      </c>
      <c r="B52" s="424" t="s">
        <v>1047</v>
      </c>
      <c r="C52" s="646">
        <v>131399.6</v>
      </c>
      <c r="D52" s="646">
        <v>17319.91</v>
      </c>
      <c r="E52" s="646">
        <v>139402.5</v>
      </c>
      <c r="F52" s="646">
        <v>23200.04</v>
      </c>
      <c r="G52" s="147">
        <f t="shared" si="1"/>
        <v>8002.8999999999942</v>
      </c>
      <c r="H52" s="148">
        <f t="shared" si="1"/>
        <v>5880.130000000001</v>
      </c>
    </row>
    <row r="53" spans="1:12" x14ac:dyDescent="0.25">
      <c r="A53" s="32">
        <f t="shared" si="0"/>
        <v>48</v>
      </c>
      <c r="B53" s="424" t="s">
        <v>140</v>
      </c>
      <c r="C53" s="646">
        <v>135950.31</v>
      </c>
      <c r="D53" s="646">
        <v>12025.33</v>
      </c>
      <c r="E53" s="646">
        <v>158187.24</v>
      </c>
      <c r="F53" s="646">
        <v>10387.15</v>
      </c>
      <c r="G53" s="147">
        <f t="shared" si="1"/>
        <v>22236.929999999993</v>
      </c>
      <c r="H53" s="148">
        <f t="shared" si="1"/>
        <v>-1638.1800000000003</v>
      </c>
    </row>
    <row r="54" spans="1:12" x14ac:dyDescent="0.25">
      <c r="A54" s="32">
        <f t="shared" si="0"/>
        <v>49</v>
      </c>
      <c r="B54" s="424" t="s">
        <v>141</v>
      </c>
      <c r="C54" s="646">
        <v>212435.28</v>
      </c>
      <c r="D54" s="646">
        <v>179.18</v>
      </c>
      <c r="E54" s="646">
        <v>283244.46999999997</v>
      </c>
      <c r="F54" s="646">
        <v>6130.87</v>
      </c>
      <c r="G54" s="147">
        <f t="shared" si="1"/>
        <v>70809.189999999973</v>
      </c>
      <c r="H54" s="148">
        <f t="shared" si="1"/>
        <v>5951.69</v>
      </c>
    </row>
    <row r="55" spans="1:12" x14ac:dyDescent="0.25">
      <c r="A55" s="32">
        <f t="shared" si="0"/>
        <v>50</v>
      </c>
      <c r="B55" s="424" t="s">
        <v>142</v>
      </c>
      <c r="C55" s="646">
        <v>220471.72</v>
      </c>
      <c r="D55" s="646">
        <v>10379.25</v>
      </c>
      <c r="E55" s="646">
        <v>244276.52</v>
      </c>
      <c r="F55" s="646">
        <v>9516.02</v>
      </c>
      <c r="G55" s="147">
        <f t="shared" si="1"/>
        <v>23804.799999999988</v>
      </c>
      <c r="H55" s="148">
        <f t="shared" si="1"/>
        <v>-863.22999999999956</v>
      </c>
    </row>
    <row r="56" spans="1:12" x14ac:dyDescent="0.25">
      <c r="A56" s="32">
        <f t="shared" si="0"/>
        <v>51</v>
      </c>
      <c r="B56" s="424" t="s">
        <v>109</v>
      </c>
      <c r="C56" s="646">
        <v>108624.8</v>
      </c>
      <c r="D56" s="646">
        <v>5355.82</v>
      </c>
      <c r="E56" s="646">
        <v>872771.13</v>
      </c>
      <c r="F56" s="646">
        <v>2716</v>
      </c>
      <c r="G56" s="147">
        <f t="shared" si="1"/>
        <v>764146.33</v>
      </c>
      <c r="H56" s="148">
        <f t="shared" si="1"/>
        <v>-2639.8199999999997</v>
      </c>
    </row>
    <row r="57" spans="1:12" x14ac:dyDescent="0.25">
      <c r="A57" s="32">
        <f t="shared" si="0"/>
        <v>52</v>
      </c>
      <c r="B57" s="424" t="s">
        <v>110</v>
      </c>
      <c r="C57" s="646">
        <v>4520</v>
      </c>
      <c r="D57" s="646"/>
      <c r="E57" s="646">
        <v>8352.4</v>
      </c>
      <c r="F57" s="646">
        <v>0</v>
      </c>
      <c r="G57" s="147">
        <f t="shared" si="1"/>
        <v>3832.3999999999996</v>
      </c>
      <c r="H57" s="148">
        <f t="shared" si="1"/>
        <v>0</v>
      </c>
    </row>
    <row r="58" spans="1:12" ht="31.5" x14ac:dyDescent="0.25">
      <c r="A58" s="32">
        <f t="shared" si="0"/>
        <v>53</v>
      </c>
      <c r="B58" s="424" t="s">
        <v>1048</v>
      </c>
      <c r="C58" s="646">
        <v>1036643.83</v>
      </c>
      <c r="D58" s="646">
        <v>198255.29</v>
      </c>
      <c r="E58" s="646">
        <v>1324556.05</v>
      </c>
      <c r="F58" s="646">
        <v>178176.55</v>
      </c>
      <c r="G58" s="147">
        <f t="shared" si="1"/>
        <v>287912.22000000009</v>
      </c>
      <c r="H58" s="148">
        <f t="shared" si="1"/>
        <v>-20078.74000000002</v>
      </c>
      <c r="I58" s="303"/>
    </row>
    <row r="59" spans="1:12" x14ac:dyDescent="0.25">
      <c r="A59" s="32">
        <f t="shared" si="0"/>
        <v>54</v>
      </c>
      <c r="B59" s="424" t="s">
        <v>143</v>
      </c>
      <c r="C59" s="646">
        <v>2004997.73</v>
      </c>
      <c r="D59" s="646">
        <v>569700.93999999994</v>
      </c>
      <c r="E59" s="646">
        <v>2469468.2599999998</v>
      </c>
      <c r="F59" s="646">
        <v>421643.71</v>
      </c>
      <c r="G59" s="147">
        <f t="shared" si="1"/>
        <v>464470.5299999998</v>
      </c>
      <c r="H59" s="148">
        <f t="shared" si="1"/>
        <v>-148057.22999999992</v>
      </c>
      <c r="J59" s="721"/>
      <c r="K59" s="721"/>
    </row>
    <row r="60" spans="1:12" x14ac:dyDescent="0.25">
      <c r="A60" s="32">
        <f t="shared" si="0"/>
        <v>55</v>
      </c>
      <c r="B60" s="427" t="s">
        <v>1074</v>
      </c>
      <c r="C60" s="649">
        <f>C61+C62</f>
        <v>33259512.73</v>
      </c>
      <c r="D60" s="649">
        <f>D61+D62</f>
        <v>2246981.7000000002</v>
      </c>
      <c r="E60" s="649">
        <f>E61+E62</f>
        <v>33337827.379999999</v>
      </c>
      <c r="F60" s="649">
        <f>F61+F62</f>
        <v>2661490.4400000004</v>
      </c>
      <c r="G60" s="60">
        <f t="shared" si="1"/>
        <v>78314.64999999851</v>
      </c>
      <c r="H60" s="139">
        <f t="shared" si="1"/>
        <v>414508.74000000022</v>
      </c>
      <c r="K60" s="721"/>
    </row>
    <row r="61" spans="1:12" x14ac:dyDescent="0.25">
      <c r="A61" s="32">
        <f t="shared" si="0"/>
        <v>56</v>
      </c>
      <c r="B61" s="424" t="s">
        <v>1049</v>
      </c>
      <c r="C61" s="646">
        <v>33119303.920000002</v>
      </c>
      <c r="D61" s="646">
        <v>1012134.91</v>
      </c>
      <c r="E61" s="826">
        <v>32543691.149999999</v>
      </c>
      <c r="F61" s="646">
        <v>2344278.16</v>
      </c>
      <c r="G61" s="147">
        <f t="shared" si="1"/>
        <v>-575612.77000000328</v>
      </c>
      <c r="H61" s="148">
        <f t="shared" si="1"/>
        <v>1332143.25</v>
      </c>
      <c r="I61" s="718"/>
      <c r="J61" s="721"/>
      <c r="K61" s="721"/>
      <c r="L61" s="721"/>
    </row>
    <row r="62" spans="1:12" x14ac:dyDescent="0.25">
      <c r="A62" s="32">
        <f t="shared" si="0"/>
        <v>57</v>
      </c>
      <c r="B62" s="427" t="s">
        <v>15</v>
      </c>
      <c r="C62" s="649">
        <f>SUM(C63:C65)</f>
        <v>140208.81</v>
      </c>
      <c r="D62" s="649">
        <f>SUM(D63:D65)</f>
        <v>1234846.79</v>
      </c>
      <c r="E62" s="649">
        <f>SUM(E63:E65)</f>
        <v>794136.23</v>
      </c>
      <c r="F62" s="649">
        <f>SUM(F63:F65)</f>
        <v>317212.28000000003</v>
      </c>
      <c r="G62" s="60">
        <f t="shared" si="1"/>
        <v>653927.41999999993</v>
      </c>
      <c r="H62" s="139">
        <f t="shared" si="1"/>
        <v>-917634.51</v>
      </c>
      <c r="I62" s="721"/>
      <c r="J62" s="721"/>
      <c r="K62" s="721"/>
      <c r="L62" s="721"/>
    </row>
    <row r="63" spans="1:12" s="133" customFormat="1" ht="16.5" customHeight="1" x14ac:dyDescent="0.2">
      <c r="A63" s="32">
        <f t="shared" si="0"/>
        <v>58</v>
      </c>
      <c r="B63" s="431" t="s">
        <v>13</v>
      </c>
      <c r="C63" s="656">
        <v>45163.98</v>
      </c>
      <c r="D63" s="656">
        <v>824358.45</v>
      </c>
      <c r="E63" s="825">
        <v>485169.79</v>
      </c>
      <c r="F63" s="656">
        <v>277568.52</v>
      </c>
      <c r="G63" s="147">
        <f t="shared" si="1"/>
        <v>440005.81</v>
      </c>
      <c r="H63" s="148">
        <f t="shared" si="1"/>
        <v>-546789.92999999993</v>
      </c>
      <c r="I63" s="744"/>
      <c r="J63" s="823"/>
      <c r="K63" s="823"/>
      <c r="L63" s="823"/>
    </row>
    <row r="64" spans="1:12" ht="31.5" x14ac:dyDescent="0.25">
      <c r="A64" s="32">
        <f t="shared" si="0"/>
        <v>59</v>
      </c>
      <c r="B64" s="431" t="s">
        <v>14</v>
      </c>
      <c r="C64" s="646">
        <v>370.34</v>
      </c>
      <c r="D64" s="646">
        <v>410488.34</v>
      </c>
      <c r="E64" s="646">
        <v>247289.71</v>
      </c>
      <c r="F64" s="646">
        <v>7908.46</v>
      </c>
      <c r="G64" s="147">
        <f t="shared" si="1"/>
        <v>246919.37</v>
      </c>
      <c r="H64" s="148">
        <f t="shared" si="1"/>
        <v>-402579.88</v>
      </c>
      <c r="I64" s="744"/>
      <c r="J64" s="830"/>
      <c r="K64" s="831"/>
      <c r="L64" s="721"/>
    </row>
    <row r="65" spans="1:12" x14ac:dyDescent="0.25">
      <c r="A65" s="32">
        <f t="shared" si="0"/>
        <v>60</v>
      </c>
      <c r="B65" s="424" t="s">
        <v>267</v>
      </c>
      <c r="C65" s="646">
        <v>94674.49</v>
      </c>
      <c r="D65" s="646">
        <v>0</v>
      </c>
      <c r="E65" s="646">
        <v>61676.73</v>
      </c>
      <c r="F65" s="646">
        <v>31735.3</v>
      </c>
      <c r="G65" s="147">
        <f t="shared" si="1"/>
        <v>-32997.760000000002</v>
      </c>
      <c r="H65" s="148">
        <f t="shared" si="1"/>
        <v>31735.3</v>
      </c>
      <c r="I65" s="744"/>
      <c r="J65" s="962"/>
      <c r="K65" s="962"/>
      <c r="L65" s="962"/>
    </row>
    <row r="66" spans="1:12" x14ac:dyDescent="0.25">
      <c r="A66" s="32">
        <f t="shared" si="0"/>
        <v>61</v>
      </c>
      <c r="B66" s="427" t="s">
        <v>200</v>
      </c>
      <c r="C66" s="646">
        <v>11518642.380000001</v>
      </c>
      <c r="D66" s="646">
        <v>696124.5</v>
      </c>
      <c r="E66" s="646">
        <v>11416539.51</v>
      </c>
      <c r="F66" s="646">
        <v>864287.41</v>
      </c>
      <c r="G66" s="147">
        <f t="shared" si="1"/>
        <v>-102102.87000000104</v>
      </c>
      <c r="H66" s="148">
        <f t="shared" si="1"/>
        <v>168162.91000000003</v>
      </c>
      <c r="J66" s="962"/>
      <c r="K66" s="962"/>
      <c r="L66" s="962"/>
    </row>
    <row r="67" spans="1:12" x14ac:dyDescent="0.25">
      <c r="A67" s="32">
        <f t="shared" si="0"/>
        <v>62</v>
      </c>
      <c r="B67" s="427" t="s">
        <v>32</v>
      </c>
      <c r="C67" s="646">
        <v>237175.64</v>
      </c>
      <c r="D67" s="646">
        <v>4624.55</v>
      </c>
      <c r="E67" s="646">
        <v>246943.82</v>
      </c>
      <c r="F67" s="646">
        <v>5722.58</v>
      </c>
      <c r="G67" s="147">
        <f t="shared" si="1"/>
        <v>9768.179999999993</v>
      </c>
      <c r="H67" s="148">
        <f t="shared" si="1"/>
        <v>1098.0299999999997</v>
      </c>
      <c r="J67" s="833"/>
      <c r="K67" s="832"/>
      <c r="L67" s="558"/>
    </row>
    <row r="68" spans="1:12" x14ac:dyDescent="0.25">
      <c r="A68" s="32">
        <f t="shared" si="0"/>
        <v>63</v>
      </c>
      <c r="B68" s="427" t="s">
        <v>16</v>
      </c>
      <c r="C68" s="649">
        <f>SUM(C69:C74)</f>
        <v>1328002.3099999998</v>
      </c>
      <c r="D68" s="649">
        <f>SUM(D69:D74)</f>
        <v>45285.55</v>
      </c>
      <c r="E68" s="649">
        <f>SUM(E69:E74)</f>
        <v>1416072.5899999999</v>
      </c>
      <c r="F68" s="649">
        <f>SUM(F69:F74)</f>
        <v>45428.84</v>
      </c>
      <c r="G68" s="60">
        <f t="shared" si="1"/>
        <v>88070.280000000028</v>
      </c>
      <c r="H68" s="139">
        <f t="shared" si="1"/>
        <v>143.2899999999936</v>
      </c>
      <c r="I68" s="721"/>
      <c r="J68" s="828"/>
      <c r="K68" s="828"/>
      <c r="L68" s="828"/>
    </row>
    <row r="69" spans="1:12" x14ac:dyDescent="0.25">
      <c r="A69" s="32">
        <f t="shared" si="0"/>
        <v>64</v>
      </c>
      <c r="B69" s="424" t="s">
        <v>97</v>
      </c>
      <c r="C69" s="646">
        <v>371498.9</v>
      </c>
      <c r="D69" s="646">
        <v>22011.3</v>
      </c>
      <c r="E69" s="646">
        <v>354460.57</v>
      </c>
      <c r="F69" s="646">
        <v>22695.82</v>
      </c>
      <c r="G69" s="147">
        <f t="shared" si="1"/>
        <v>-17038.330000000016</v>
      </c>
      <c r="H69" s="148">
        <f t="shared" si="1"/>
        <v>684.52000000000044</v>
      </c>
      <c r="I69" s="721"/>
      <c r="J69" s="828"/>
      <c r="K69" s="828"/>
      <c r="L69" s="828"/>
    </row>
    <row r="70" spans="1:12" x14ac:dyDescent="0.25">
      <c r="A70" s="32">
        <f t="shared" si="0"/>
        <v>65</v>
      </c>
      <c r="B70" s="424" t="s">
        <v>144</v>
      </c>
      <c r="C70" s="646">
        <v>675832.67</v>
      </c>
      <c r="D70" s="646">
        <v>16951.72</v>
      </c>
      <c r="E70" s="646">
        <v>690185.64</v>
      </c>
      <c r="F70" s="646">
        <v>12676.32</v>
      </c>
      <c r="G70" s="147">
        <f t="shared" si="1"/>
        <v>14352.969999999972</v>
      </c>
      <c r="H70" s="148">
        <f t="shared" si="1"/>
        <v>-4275.4000000000015</v>
      </c>
      <c r="I70" s="721"/>
      <c r="J70" s="828"/>
      <c r="K70" s="828"/>
      <c r="L70" s="828"/>
    </row>
    <row r="71" spans="1:12" x14ac:dyDescent="0.25">
      <c r="A71" s="32">
        <f t="shared" si="0"/>
        <v>66</v>
      </c>
      <c r="B71" s="424" t="s">
        <v>145</v>
      </c>
      <c r="C71" s="646">
        <v>211214.87</v>
      </c>
      <c r="D71" s="646">
        <v>2970.86</v>
      </c>
      <c r="E71" s="646">
        <v>283805.68</v>
      </c>
      <c r="F71" s="646">
        <v>5719</v>
      </c>
      <c r="G71" s="147">
        <f t="shared" si="1"/>
        <v>72590.81</v>
      </c>
      <c r="H71" s="148">
        <f t="shared" si="1"/>
        <v>2748.14</v>
      </c>
      <c r="I71" s="721"/>
      <c r="J71" s="829"/>
      <c r="K71" s="829"/>
      <c r="L71" s="829"/>
    </row>
    <row r="72" spans="1:12" x14ac:dyDescent="0.25">
      <c r="A72" s="32">
        <f t="shared" ref="A72:A102" si="2">A71+1</f>
        <v>67</v>
      </c>
      <c r="B72" s="424" t="s">
        <v>146</v>
      </c>
      <c r="C72" s="646">
        <v>63652.92</v>
      </c>
      <c r="D72" s="646">
        <v>2536.06</v>
      </c>
      <c r="E72" s="646">
        <v>77933.19</v>
      </c>
      <c r="F72" s="646">
        <v>3561.95</v>
      </c>
      <c r="G72" s="147">
        <f t="shared" ref="G72:H101" si="3">E72-C72</f>
        <v>14280.270000000004</v>
      </c>
      <c r="H72" s="148">
        <f t="shared" si="3"/>
        <v>1025.8899999999999</v>
      </c>
      <c r="I72" s="721"/>
      <c r="J72" s="829"/>
      <c r="K72" s="829"/>
      <c r="L72" s="829"/>
    </row>
    <row r="73" spans="1:12" x14ac:dyDescent="0.25">
      <c r="A73" s="32">
        <f t="shared" si="2"/>
        <v>68</v>
      </c>
      <c r="B73" s="424" t="s">
        <v>147</v>
      </c>
      <c r="C73" s="646">
        <v>5799.8</v>
      </c>
      <c r="D73" s="646">
        <v>815.61</v>
      </c>
      <c r="E73" s="646">
        <v>9530.89</v>
      </c>
      <c r="F73" s="646">
        <v>775.75</v>
      </c>
      <c r="G73" s="147">
        <f t="shared" si="3"/>
        <v>3731.0899999999992</v>
      </c>
      <c r="H73" s="148">
        <f t="shared" si="3"/>
        <v>-39.860000000000014</v>
      </c>
      <c r="J73" s="721"/>
    </row>
    <row r="74" spans="1:12" x14ac:dyDescent="0.25">
      <c r="A74" s="32">
        <f t="shared" si="2"/>
        <v>69</v>
      </c>
      <c r="B74" s="424" t="s">
        <v>148</v>
      </c>
      <c r="C74" s="646">
        <v>3.15</v>
      </c>
      <c r="D74" s="646">
        <v>0</v>
      </c>
      <c r="E74" s="646">
        <v>156.62</v>
      </c>
      <c r="F74" s="646">
        <v>0</v>
      </c>
      <c r="G74" s="147">
        <f t="shared" si="3"/>
        <v>153.47</v>
      </c>
      <c r="H74" s="148">
        <f t="shared" si="3"/>
        <v>0</v>
      </c>
    </row>
    <row r="75" spans="1:12" x14ac:dyDescent="0.25">
      <c r="A75" s="32">
        <f t="shared" si="2"/>
        <v>70</v>
      </c>
      <c r="B75" s="427" t="s">
        <v>47</v>
      </c>
      <c r="C75" s="646">
        <v>4448.7299999999996</v>
      </c>
      <c r="D75" s="646">
        <v>3435.77</v>
      </c>
      <c r="E75" s="646">
        <v>2868.43</v>
      </c>
      <c r="F75" s="646">
        <v>462.23</v>
      </c>
      <c r="G75" s="147">
        <f t="shared" si="3"/>
        <v>-1580.2999999999997</v>
      </c>
      <c r="H75" s="148">
        <f t="shared" si="3"/>
        <v>-2973.54</v>
      </c>
    </row>
    <row r="76" spans="1:12" x14ac:dyDescent="0.25">
      <c r="A76" s="32">
        <f t="shared" si="2"/>
        <v>71</v>
      </c>
      <c r="B76" s="427" t="s">
        <v>411</v>
      </c>
      <c r="C76" s="646"/>
      <c r="D76" s="646">
        <v>2492.23</v>
      </c>
      <c r="E76" s="646">
        <v>0</v>
      </c>
      <c r="F76" s="646">
        <v>3834.66</v>
      </c>
      <c r="G76" s="147">
        <f t="shared" si="3"/>
        <v>0</v>
      </c>
      <c r="H76" s="148">
        <f t="shared" si="3"/>
        <v>1342.4299999999998</v>
      </c>
    </row>
    <row r="77" spans="1:12" x14ac:dyDescent="0.25">
      <c r="A77" s="32">
        <f t="shared" si="2"/>
        <v>72</v>
      </c>
      <c r="B77" s="427" t="s">
        <v>202</v>
      </c>
      <c r="C77" s="646">
        <v>173176.62</v>
      </c>
      <c r="D77" s="646">
        <v>37710.620000000003</v>
      </c>
      <c r="E77" s="646">
        <v>171462.94</v>
      </c>
      <c r="F77" s="646">
        <v>39717.449999999997</v>
      </c>
      <c r="G77" s="147">
        <f t="shared" si="3"/>
        <v>-1713.679999999993</v>
      </c>
      <c r="H77" s="148">
        <f t="shared" si="3"/>
        <v>2006.8299999999945</v>
      </c>
    </row>
    <row r="78" spans="1:12" x14ac:dyDescent="0.25">
      <c r="A78" s="32">
        <f t="shared" si="2"/>
        <v>73</v>
      </c>
      <c r="B78" s="427" t="s">
        <v>327</v>
      </c>
      <c r="C78" s="646">
        <v>34231.82</v>
      </c>
      <c r="D78" s="646">
        <v>4171.01</v>
      </c>
      <c r="E78" s="646">
        <v>52433.94</v>
      </c>
      <c r="F78" s="646">
        <v>2257.69</v>
      </c>
      <c r="G78" s="147">
        <f t="shared" si="3"/>
        <v>18202.120000000003</v>
      </c>
      <c r="H78" s="148">
        <f t="shared" si="3"/>
        <v>-1913.3200000000002</v>
      </c>
    </row>
    <row r="79" spans="1:12" x14ac:dyDescent="0.25">
      <c r="A79" s="32">
        <f t="shared" si="2"/>
        <v>74</v>
      </c>
      <c r="B79" s="427" t="s">
        <v>1075</v>
      </c>
      <c r="C79" s="649">
        <f>C80+C81</f>
        <v>7090030.3699999992</v>
      </c>
      <c r="D79" s="649">
        <f>D80+D81</f>
        <v>365587.26</v>
      </c>
      <c r="E79" s="649">
        <f>E80+E81</f>
        <v>6483278.1899999995</v>
      </c>
      <c r="F79" s="649">
        <f>F80+F81</f>
        <v>368676.41</v>
      </c>
      <c r="G79" s="60">
        <f t="shared" si="3"/>
        <v>-606752.1799999997</v>
      </c>
      <c r="H79" s="139">
        <f t="shared" si="3"/>
        <v>3089.1499999999651</v>
      </c>
    </row>
    <row r="80" spans="1:12" ht="31.5" x14ac:dyDescent="0.25">
      <c r="A80" s="32">
        <f t="shared" si="2"/>
        <v>75</v>
      </c>
      <c r="B80" s="427" t="s">
        <v>269</v>
      </c>
      <c r="C80" s="655">
        <v>90803.42</v>
      </c>
      <c r="D80" s="655">
        <v>37452.14</v>
      </c>
      <c r="E80" s="655">
        <v>98221.35</v>
      </c>
      <c r="F80" s="655">
        <v>14657.51</v>
      </c>
      <c r="G80" s="147">
        <f t="shared" si="3"/>
        <v>7417.9300000000076</v>
      </c>
      <c r="H80" s="148">
        <f t="shared" si="3"/>
        <v>-22794.629999999997</v>
      </c>
    </row>
    <row r="81" spans="1:12" x14ac:dyDescent="0.25">
      <c r="A81" s="32">
        <f t="shared" si="2"/>
        <v>76</v>
      </c>
      <c r="B81" s="427" t="s">
        <v>17</v>
      </c>
      <c r="C81" s="649">
        <f>SUM(C82:C88)</f>
        <v>6999226.9499999993</v>
      </c>
      <c r="D81" s="649">
        <f>SUM(D82:D88)</f>
        <v>328135.12</v>
      </c>
      <c r="E81" s="649">
        <f>SUM(E82:E88)</f>
        <v>6385056.8399999999</v>
      </c>
      <c r="F81" s="649">
        <f>SUM(F82:F88)</f>
        <v>354018.89999999997</v>
      </c>
      <c r="G81" s="60">
        <f t="shared" si="3"/>
        <v>-614170.1099999994</v>
      </c>
      <c r="H81" s="139">
        <f t="shared" si="3"/>
        <v>25883.77999999997</v>
      </c>
    </row>
    <row r="82" spans="1:12" x14ac:dyDescent="0.25">
      <c r="A82" s="32">
        <f t="shared" si="2"/>
        <v>77</v>
      </c>
      <c r="B82" s="424" t="s">
        <v>956</v>
      </c>
      <c r="C82" s="646">
        <v>4618480.09</v>
      </c>
      <c r="D82" s="646">
        <v>0</v>
      </c>
      <c r="E82" s="646">
        <v>4056580.03</v>
      </c>
      <c r="F82" s="646">
        <v>0</v>
      </c>
      <c r="G82" s="147">
        <f t="shared" si="3"/>
        <v>-561900.06000000006</v>
      </c>
      <c r="H82" s="148">
        <f t="shared" si="3"/>
        <v>0</v>
      </c>
      <c r="I82" s="718"/>
      <c r="J82" s="721"/>
    </row>
    <row r="83" spans="1:12" x14ac:dyDescent="0.25">
      <c r="A83" s="32">
        <f t="shared" si="2"/>
        <v>78</v>
      </c>
      <c r="B83" s="424" t="s">
        <v>149</v>
      </c>
      <c r="C83" s="646">
        <v>22377.89</v>
      </c>
      <c r="D83" s="646">
        <v>3924.69</v>
      </c>
      <c r="E83" s="646">
        <v>12230.01</v>
      </c>
      <c r="F83" s="646">
        <v>1092.95</v>
      </c>
      <c r="G83" s="147">
        <f t="shared" si="3"/>
        <v>-10147.879999999999</v>
      </c>
      <c r="H83" s="148">
        <f t="shared" si="3"/>
        <v>-2831.74</v>
      </c>
    </row>
    <row r="84" spans="1:12" x14ac:dyDescent="0.25">
      <c r="A84" s="32">
        <f t="shared" si="2"/>
        <v>79</v>
      </c>
      <c r="B84" s="424" t="s">
        <v>150</v>
      </c>
      <c r="C84" s="646">
        <v>5</v>
      </c>
      <c r="D84" s="646">
        <v>0</v>
      </c>
      <c r="E84" s="646">
        <v>0</v>
      </c>
      <c r="F84" s="646">
        <v>0</v>
      </c>
      <c r="G84" s="147">
        <f t="shared" si="3"/>
        <v>-5</v>
      </c>
      <c r="H84" s="148">
        <f t="shared" si="3"/>
        <v>0</v>
      </c>
      <c r="I84" s="721"/>
    </row>
    <row r="85" spans="1:12" ht="31.5" x14ac:dyDescent="0.25">
      <c r="A85" s="32">
        <f t="shared" si="2"/>
        <v>80</v>
      </c>
      <c r="B85" s="562" t="s">
        <v>1119</v>
      </c>
      <c r="C85" s="646">
        <v>91851.9</v>
      </c>
      <c r="D85" s="646">
        <v>7820.04</v>
      </c>
      <c r="E85" s="646">
        <v>56876.7</v>
      </c>
      <c r="F85" s="646">
        <v>3936.75</v>
      </c>
      <c r="G85" s="147">
        <f t="shared" si="3"/>
        <v>-34975.199999999997</v>
      </c>
      <c r="H85" s="148">
        <f t="shared" si="3"/>
        <v>-3883.29</v>
      </c>
    </row>
    <row r="86" spans="1:12" x14ac:dyDescent="0.25">
      <c r="A86" s="32">
        <f t="shared" si="2"/>
        <v>81</v>
      </c>
      <c r="B86" s="424" t="s">
        <v>151</v>
      </c>
      <c r="C86" s="646">
        <v>31842.77</v>
      </c>
      <c r="D86" s="646">
        <v>0</v>
      </c>
      <c r="E86" s="646">
        <v>322870.96000000002</v>
      </c>
      <c r="F86" s="646">
        <v>0</v>
      </c>
      <c r="G86" s="147">
        <f t="shared" si="3"/>
        <v>291028.19</v>
      </c>
      <c r="H86" s="148">
        <f t="shared" si="3"/>
        <v>0</v>
      </c>
      <c r="I86" s="718"/>
      <c r="J86" s="721"/>
    </row>
    <row r="87" spans="1:12" x14ac:dyDescent="0.25">
      <c r="A87" s="32">
        <f t="shared" si="2"/>
        <v>82</v>
      </c>
      <c r="B87" s="424" t="s">
        <v>152</v>
      </c>
      <c r="C87" s="646">
        <v>1313295.2</v>
      </c>
      <c r="D87" s="646">
        <v>11612.76</v>
      </c>
      <c r="E87" s="646">
        <v>978339.89</v>
      </c>
      <c r="F87" s="646">
        <v>24578.34</v>
      </c>
      <c r="G87" s="147">
        <f t="shared" si="3"/>
        <v>-334955.30999999994</v>
      </c>
      <c r="H87" s="148">
        <f t="shared" si="3"/>
        <v>12965.58</v>
      </c>
    </row>
    <row r="88" spans="1:12" x14ac:dyDescent="0.25">
      <c r="A88" s="32">
        <f t="shared" si="2"/>
        <v>83</v>
      </c>
      <c r="B88" s="562" t="s">
        <v>1120</v>
      </c>
      <c r="C88" s="646">
        <v>921374.1</v>
      </c>
      <c r="D88" s="646">
        <v>304777.63</v>
      </c>
      <c r="E88" s="646">
        <v>958159.25</v>
      </c>
      <c r="F88" s="646">
        <v>324410.86</v>
      </c>
      <c r="G88" s="147">
        <f t="shared" si="3"/>
        <v>36785.150000000023</v>
      </c>
      <c r="H88" s="148">
        <f t="shared" si="3"/>
        <v>19633.229999999981</v>
      </c>
      <c r="J88" s="721"/>
    </row>
    <row r="89" spans="1:12" ht="31.5" x14ac:dyDescent="0.25">
      <c r="A89" s="32">
        <f t="shared" si="2"/>
        <v>84</v>
      </c>
      <c r="B89" s="563" t="s">
        <v>1266</v>
      </c>
      <c r="C89" s="649">
        <f>SUM(C90:C98)</f>
        <v>14599727.08</v>
      </c>
      <c r="D89" s="649">
        <f>SUM(D90:D98)</f>
        <v>86768.049999999988</v>
      </c>
      <c r="E89" s="649">
        <f>SUM(E90:E98)</f>
        <v>15847072.57</v>
      </c>
      <c r="F89" s="649">
        <f>SUM(F90:F98)</f>
        <v>33733.410000000003</v>
      </c>
      <c r="G89" s="60">
        <f t="shared" si="3"/>
        <v>1247345.4900000002</v>
      </c>
      <c r="H89" s="139">
        <f t="shared" si="3"/>
        <v>-53034.639999999985</v>
      </c>
      <c r="J89" s="721"/>
    </row>
    <row r="90" spans="1:12" ht="31.5" customHeight="1" x14ac:dyDescent="0.25">
      <c r="A90" s="32">
        <f t="shared" si="2"/>
        <v>85</v>
      </c>
      <c r="B90" s="424" t="s">
        <v>1050</v>
      </c>
      <c r="C90" s="646">
        <v>1922430.6</v>
      </c>
      <c r="D90" s="646"/>
      <c r="E90" s="646">
        <v>1540530.77</v>
      </c>
      <c r="F90" s="646">
        <v>0</v>
      </c>
      <c r="G90" s="147">
        <f t="shared" si="3"/>
        <v>-381899.83000000007</v>
      </c>
      <c r="H90" s="148">
        <f t="shared" si="3"/>
        <v>0</v>
      </c>
    </row>
    <row r="91" spans="1:12" x14ac:dyDescent="0.25">
      <c r="A91" s="32">
        <f t="shared" si="2"/>
        <v>86</v>
      </c>
      <c r="B91" s="432" t="s">
        <v>1076</v>
      </c>
      <c r="C91" s="646">
        <v>3833684.34</v>
      </c>
      <c r="D91" s="646">
        <v>31024.21</v>
      </c>
      <c r="E91" s="646">
        <v>6750413.8799999999</v>
      </c>
      <c r="F91" s="646">
        <v>35358.980000000003</v>
      </c>
      <c r="G91" s="147">
        <f t="shared" si="3"/>
        <v>2916729.54</v>
      </c>
      <c r="H91" s="148">
        <f t="shared" si="3"/>
        <v>4334.7700000000041</v>
      </c>
      <c r="I91" s="718"/>
      <c r="J91" s="718"/>
      <c r="K91" s="766"/>
      <c r="L91" s="767"/>
    </row>
    <row r="92" spans="1:12" ht="31.5" x14ac:dyDescent="0.25">
      <c r="A92" s="32" t="s">
        <v>874</v>
      </c>
      <c r="B92" s="432" t="s">
        <v>1077</v>
      </c>
      <c r="C92" s="646">
        <v>4992576.5999999996</v>
      </c>
      <c r="D92" s="646"/>
      <c r="E92" s="646">
        <v>3896815.33</v>
      </c>
      <c r="F92" s="646">
        <v>0</v>
      </c>
      <c r="G92" s="147">
        <f>E92-C92</f>
        <v>-1095761.2699999996</v>
      </c>
      <c r="H92" s="148">
        <f>F92-D92</f>
        <v>0</v>
      </c>
      <c r="I92" s="749"/>
    </row>
    <row r="93" spans="1:12" x14ac:dyDescent="0.25">
      <c r="A93" s="32">
        <f>A91+1</f>
        <v>87</v>
      </c>
      <c r="B93" s="424" t="s">
        <v>1051</v>
      </c>
      <c r="C93" s="646"/>
      <c r="D93" s="646">
        <v>55743.839999999997</v>
      </c>
      <c r="E93" s="646">
        <v>-1941.99</v>
      </c>
      <c r="F93" s="646">
        <v>-1625.57</v>
      </c>
      <c r="G93" s="147">
        <f t="shared" si="3"/>
        <v>-1941.99</v>
      </c>
      <c r="H93" s="148">
        <f t="shared" si="3"/>
        <v>-57369.409999999996</v>
      </c>
    </row>
    <row r="94" spans="1:12" x14ac:dyDescent="0.25">
      <c r="A94" s="32">
        <f t="shared" si="2"/>
        <v>88</v>
      </c>
      <c r="B94" s="424" t="s">
        <v>182</v>
      </c>
      <c r="C94" s="646"/>
      <c r="D94" s="646"/>
      <c r="E94" s="646">
        <v>0</v>
      </c>
      <c r="F94" s="646">
        <v>0</v>
      </c>
      <c r="G94" s="147">
        <f t="shared" si="3"/>
        <v>0</v>
      </c>
      <c r="H94" s="148">
        <f t="shared" si="3"/>
        <v>0</v>
      </c>
      <c r="I94" s="721"/>
    </row>
    <row r="95" spans="1:12" x14ac:dyDescent="0.25">
      <c r="A95" s="32">
        <f t="shared" si="2"/>
        <v>89</v>
      </c>
      <c r="B95" s="424" t="s">
        <v>183</v>
      </c>
      <c r="C95" s="646">
        <v>3824851.8</v>
      </c>
      <c r="D95" s="646"/>
      <c r="E95" s="646">
        <v>3658699.58</v>
      </c>
      <c r="F95" s="646">
        <v>0</v>
      </c>
      <c r="G95" s="147">
        <f t="shared" si="3"/>
        <v>-166152.21999999974</v>
      </c>
      <c r="H95" s="148">
        <f t="shared" si="3"/>
        <v>0</v>
      </c>
    </row>
    <row r="96" spans="1:12" x14ac:dyDescent="0.25">
      <c r="A96" s="32">
        <f t="shared" si="2"/>
        <v>90</v>
      </c>
      <c r="B96" s="424" t="s">
        <v>1052</v>
      </c>
      <c r="C96" s="646">
        <v>23450.17</v>
      </c>
      <c r="D96" s="646"/>
      <c r="E96" s="646">
        <v>2555</v>
      </c>
      <c r="F96" s="646">
        <v>0</v>
      </c>
      <c r="G96" s="147">
        <f t="shared" si="3"/>
        <v>-20895.169999999998</v>
      </c>
      <c r="H96" s="148">
        <f t="shared" si="3"/>
        <v>0</v>
      </c>
      <c r="I96" s="718"/>
    </row>
    <row r="97" spans="1:14" ht="31.5" x14ac:dyDescent="0.25">
      <c r="A97" s="32">
        <f t="shared" si="2"/>
        <v>91</v>
      </c>
      <c r="B97" s="46" t="s">
        <v>1140</v>
      </c>
      <c r="C97" s="646">
        <v>2733.57</v>
      </c>
      <c r="D97" s="646"/>
      <c r="E97" s="646">
        <v>0</v>
      </c>
      <c r="F97" s="646">
        <v>0</v>
      </c>
      <c r="G97" s="147">
        <f>E97-C97</f>
        <v>-2733.57</v>
      </c>
      <c r="H97" s="148">
        <f>F97-D97</f>
        <v>0</v>
      </c>
      <c r="J97" s="721"/>
    </row>
    <row r="98" spans="1:14" x14ac:dyDescent="0.25">
      <c r="A98" s="32">
        <f>A97+1</f>
        <v>92</v>
      </c>
      <c r="B98" s="424" t="s">
        <v>1132</v>
      </c>
      <c r="C98" s="646"/>
      <c r="D98" s="646"/>
      <c r="E98" s="646">
        <v>0</v>
      </c>
      <c r="F98" s="646">
        <v>0</v>
      </c>
      <c r="G98" s="147">
        <f t="shared" si="3"/>
        <v>0</v>
      </c>
      <c r="H98" s="148">
        <f t="shared" si="3"/>
        <v>0</v>
      </c>
    </row>
    <row r="99" spans="1:14" x14ac:dyDescent="0.25">
      <c r="A99" s="32">
        <f t="shared" si="2"/>
        <v>93</v>
      </c>
      <c r="B99" s="427" t="s">
        <v>1078</v>
      </c>
      <c r="C99" s="646">
        <v>876795.14</v>
      </c>
      <c r="D99" s="646">
        <v>150</v>
      </c>
      <c r="E99" s="646">
        <v>1666097</v>
      </c>
      <c r="F99" s="646">
        <v>150</v>
      </c>
      <c r="G99" s="147">
        <f t="shared" si="3"/>
        <v>789301.86</v>
      </c>
      <c r="H99" s="148">
        <f t="shared" si="3"/>
        <v>0</v>
      </c>
    </row>
    <row r="100" spans="1:14" x14ac:dyDescent="0.25">
      <c r="A100" s="302" t="s">
        <v>1139</v>
      </c>
      <c r="B100" s="617" t="s">
        <v>875</v>
      </c>
      <c r="C100" s="657" t="s">
        <v>345</v>
      </c>
      <c r="D100" s="657" t="s">
        <v>345</v>
      </c>
      <c r="E100" s="657" t="s">
        <v>345</v>
      </c>
      <c r="F100" s="657" t="s">
        <v>345</v>
      </c>
      <c r="G100" s="65" t="s">
        <v>179</v>
      </c>
      <c r="H100" s="140" t="s">
        <v>179</v>
      </c>
    </row>
    <row r="101" spans="1:14" x14ac:dyDescent="0.25">
      <c r="A101" s="32">
        <f>A99+1</f>
        <v>94</v>
      </c>
      <c r="B101" s="427" t="s">
        <v>303</v>
      </c>
      <c r="C101" s="646"/>
      <c r="D101" s="646">
        <v>321481.49</v>
      </c>
      <c r="E101" s="646">
        <v>0</v>
      </c>
      <c r="F101" s="646">
        <v>276061.18</v>
      </c>
      <c r="G101" s="147">
        <f t="shared" si="3"/>
        <v>0</v>
      </c>
      <c r="H101" s="148">
        <f t="shared" si="3"/>
        <v>-45420.31</v>
      </c>
    </row>
    <row r="102" spans="1:14" ht="32.25" thickBot="1" x14ac:dyDescent="0.3">
      <c r="A102" s="33">
        <f t="shared" si="2"/>
        <v>95</v>
      </c>
      <c r="B102" s="564" t="s">
        <v>1267</v>
      </c>
      <c r="C102" s="658">
        <f>C6+C19+C27+C32+C40+C43+C44+C60+C66+C67+C68+SUM(C75:C79)+C89+C99+C101</f>
        <v>88154722.430000007</v>
      </c>
      <c r="D102" s="658">
        <f>D6+D19+D27+D32+D40+D43+D44+D60+D66+D67+D68+SUM(D75:D79)+D89+D99+D101</f>
        <v>6202051.1799999997</v>
      </c>
      <c r="E102" s="658">
        <f>E6+E19+E27+E32+E40+E43+E44+E60+E66+E67+E68+SUM(E75:E79)+E89+E99+E101</f>
        <v>91239839.860000014</v>
      </c>
      <c r="F102" s="658">
        <f>F6+F19+F27+F32+F40+F43+F44+F60+F66+F67+F68+SUM(F75:F79)+F89+F99+F101</f>
        <v>6710539.5299999993</v>
      </c>
      <c r="G102" s="61">
        <f>E102-C102</f>
        <v>3085117.4300000072</v>
      </c>
      <c r="H102" s="141">
        <f>F102-D102</f>
        <v>508488.34999999963</v>
      </c>
    </row>
    <row r="103" spans="1:14" x14ac:dyDescent="0.25">
      <c r="A103" s="4"/>
      <c r="D103" s="638">
        <f>C102+D102-D101-C101</f>
        <v>94035292.12000002</v>
      </c>
      <c r="E103" s="639"/>
      <c r="F103" s="638">
        <f>E102+F102-F101-E101</f>
        <v>97674318.210000008</v>
      </c>
      <c r="I103" s="637" t="s">
        <v>1456</v>
      </c>
    </row>
    <row r="104" spans="1:14" s="133" customFormat="1" ht="27" customHeight="1" x14ac:dyDescent="0.25">
      <c r="A104" s="963" t="s">
        <v>184</v>
      </c>
      <c r="B104" s="964"/>
      <c r="C104" s="964"/>
      <c r="D104" s="964"/>
      <c r="E104" s="964"/>
      <c r="F104" s="964"/>
      <c r="G104" s="964"/>
      <c r="H104" s="965"/>
      <c r="I104" s="838" t="s">
        <v>1455</v>
      </c>
      <c r="J104" s="838" t="s">
        <v>1548</v>
      </c>
    </row>
    <row r="105" spans="1:14" x14ac:dyDescent="0.25">
      <c r="E105" s="721"/>
      <c r="F105" s="721"/>
    </row>
    <row r="106" spans="1:14" x14ac:dyDescent="0.25">
      <c r="A106" s="425" t="s">
        <v>1053</v>
      </c>
      <c r="B106" s="426" t="s">
        <v>1054</v>
      </c>
    </row>
    <row r="107" spans="1:14" ht="48" x14ac:dyDescent="0.45">
      <c r="A107" s="763" t="s">
        <v>1490</v>
      </c>
      <c r="B107" s="748" t="s">
        <v>1524</v>
      </c>
      <c r="E107" s="834"/>
    </row>
    <row r="110" spans="1:14" ht="20.45" customHeight="1" x14ac:dyDescent="0.25">
      <c r="B110" s="752" t="s">
        <v>1486</v>
      </c>
      <c r="C110" s="753" t="s">
        <v>1491</v>
      </c>
      <c r="D110" s="764" t="s">
        <v>1492</v>
      </c>
      <c r="E110" s="753"/>
      <c r="F110" s="764" t="s">
        <v>1492</v>
      </c>
      <c r="G110" s="753"/>
      <c r="H110" s="753"/>
    </row>
    <row r="111" spans="1:14" ht="25.5" x14ac:dyDescent="0.3">
      <c r="B111" s="752" t="s">
        <v>1485</v>
      </c>
      <c r="C111" s="753"/>
      <c r="D111" s="764" t="s">
        <v>1493</v>
      </c>
      <c r="E111" s="753"/>
      <c r="F111" s="764" t="s">
        <v>1493</v>
      </c>
      <c r="G111" s="960"/>
      <c r="H111" s="961"/>
      <c r="I111" s="961"/>
      <c r="J111" s="961"/>
      <c r="K111" s="961"/>
      <c r="L111" s="961"/>
      <c r="M111" s="961"/>
      <c r="N111" s="961"/>
    </row>
    <row r="112" spans="1:14" x14ac:dyDescent="0.25">
      <c r="B112" s="750"/>
      <c r="H112" s="721"/>
    </row>
    <row r="113" spans="2:8" x14ac:dyDescent="0.25">
      <c r="H113" s="721"/>
    </row>
    <row r="114" spans="2:8" ht="24.75" x14ac:dyDescent="0.25">
      <c r="B114" s="837" t="s">
        <v>1525</v>
      </c>
    </row>
    <row r="970" spans="6:6" x14ac:dyDescent="0.25">
      <c r="F970" s="1" t="s">
        <v>415</v>
      </c>
    </row>
    <row r="989" spans="4:4" x14ac:dyDescent="0.25">
      <c r="D989" s="1" t="s">
        <v>414</v>
      </c>
    </row>
  </sheetData>
  <mergeCells count="10">
    <mergeCell ref="G111:N111"/>
    <mergeCell ref="J65:L66"/>
    <mergeCell ref="A104:H104"/>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888"/>
  <sheetViews>
    <sheetView zoomScale="70" zoomScaleNormal="70" workbookViewId="0">
      <pane xSplit="2" ySplit="5" topLeftCell="C45" activePane="bottomRight" state="frozen"/>
      <selection pane="topRight" activeCell="C1" sqref="C1"/>
      <selection pane="bottomLeft" activeCell="A6" sqref="A6"/>
      <selection pane="bottomRight" activeCell="B48" sqref="B48"/>
    </sheetView>
  </sheetViews>
  <sheetFormatPr defaultColWidth="9.140625" defaultRowHeight="15.75" x14ac:dyDescent="0.25"/>
  <cols>
    <col min="1" max="1" width="8.42578125" style="3" customWidth="1"/>
    <col min="2" max="2" width="74.140625" style="128" customWidth="1"/>
    <col min="3" max="8" width="17" style="1" customWidth="1"/>
    <col min="9" max="9" width="15.140625" style="1" bestFit="1" customWidth="1"/>
    <col min="10" max="16384" width="9.140625" style="1"/>
  </cols>
  <sheetData>
    <row r="1" spans="1:9" ht="35.1" customHeight="1" thickBot="1" x14ac:dyDescent="0.35">
      <c r="A1" s="966" t="s">
        <v>1470</v>
      </c>
      <c r="B1" s="967"/>
      <c r="C1" s="967"/>
      <c r="D1" s="967"/>
      <c r="E1" s="967"/>
      <c r="F1" s="967"/>
      <c r="G1" s="967"/>
      <c r="H1" s="968"/>
      <c r="I1" s="491"/>
    </row>
    <row r="2" spans="1:9" ht="32.450000000000003" customHeight="1" thickBot="1" x14ac:dyDescent="0.3">
      <c r="A2" s="973" t="s">
        <v>1522</v>
      </c>
      <c r="B2" s="974"/>
      <c r="C2" s="974"/>
      <c r="D2" s="974"/>
      <c r="E2" s="974"/>
      <c r="F2" s="974"/>
      <c r="G2" s="974"/>
      <c r="H2" s="975"/>
    </row>
    <row r="3" spans="1:9" s="10" customFormat="1" ht="31.5" customHeight="1" x14ac:dyDescent="0.25">
      <c r="A3" s="976" t="s">
        <v>228</v>
      </c>
      <c r="B3" s="978" t="s">
        <v>359</v>
      </c>
      <c r="C3" s="956">
        <v>2014</v>
      </c>
      <c r="D3" s="957"/>
      <c r="E3" s="979">
        <v>2015</v>
      </c>
      <c r="F3" s="980"/>
      <c r="G3" s="981" t="s">
        <v>1260</v>
      </c>
      <c r="H3" s="959"/>
    </row>
    <row r="4" spans="1:9" ht="31.5" customHeight="1" thickBot="1" x14ac:dyDescent="0.3">
      <c r="A4" s="977"/>
      <c r="B4" s="953"/>
      <c r="C4" s="523" t="s">
        <v>360</v>
      </c>
      <c r="D4" s="525" t="s">
        <v>361</v>
      </c>
      <c r="E4" s="536" t="s">
        <v>360</v>
      </c>
      <c r="F4" s="537" t="s">
        <v>361</v>
      </c>
      <c r="G4" s="537" t="s">
        <v>360</v>
      </c>
      <c r="H4" s="525" t="s">
        <v>361</v>
      </c>
    </row>
    <row r="5" spans="1:9" ht="16.5" thickBot="1" x14ac:dyDescent="0.3">
      <c r="A5" s="542"/>
      <c r="B5" s="543"/>
      <c r="C5" s="532" t="s">
        <v>314</v>
      </c>
      <c r="D5" s="533" t="s">
        <v>315</v>
      </c>
      <c r="E5" s="534" t="s">
        <v>316</v>
      </c>
      <c r="F5" s="535" t="s">
        <v>323</v>
      </c>
      <c r="G5" s="535" t="s">
        <v>34</v>
      </c>
      <c r="H5" s="533" t="s">
        <v>35</v>
      </c>
    </row>
    <row r="6" spans="1:9" x14ac:dyDescent="0.25">
      <c r="A6" s="528" t="s">
        <v>692</v>
      </c>
      <c r="B6" s="530" t="s">
        <v>1169</v>
      </c>
      <c r="C6" s="722">
        <v>4429832.32</v>
      </c>
      <c r="D6" s="723">
        <v>526753.49</v>
      </c>
      <c r="E6" s="722">
        <v>4147897.92</v>
      </c>
      <c r="F6" s="723">
        <v>590395.25</v>
      </c>
      <c r="G6" s="526">
        <f t="shared" ref="G6:H42" si="0">E6-C6</f>
        <v>-281934.40000000037</v>
      </c>
      <c r="H6" s="527">
        <f t="shared" si="0"/>
        <v>63641.760000000009</v>
      </c>
    </row>
    <row r="7" spans="1:9" x14ac:dyDescent="0.25">
      <c r="A7" s="529" t="s">
        <v>694</v>
      </c>
      <c r="B7" s="531" t="s">
        <v>1170</v>
      </c>
      <c r="C7" s="724">
        <v>4996863.7300000004</v>
      </c>
      <c r="D7" s="725">
        <v>613927</v>
      </c>
      <c r="E7" s="724">
        <v>4910395.18</v>
      </c>
      <c r="F7" s="725">
        <v>656415.07999999996</v>
      </c>
      <c r="G7" s="499">
        <f t="shared" si="0"/>
        <v>-86468.550000000745</v>
      </c>
      <c r="H7" s="139">
        <f t="shared" si="0"/>
        <v>42488.079999999958</v>
      </c>
    </row>
    <row r="8" spans="1:9" x14ac:dyDescent="0.25">
      <c r="A8" s="529" t="s">
        <v>696</v>
      </c>
      <c r="B8" s="531" t="s">
        <v>1171</v>
      </c>
      <c r="C8" s="724">
        <v>0</v>
      </c>
      <c r="D8" s="725">
        <v>49880.69</v>
      </c>
      <c r="E8" s="724">
        <v>0</v>
      </c>
      <c r="F8" s="725">
        <v>56025.95</v>
      </c>
      <c r="G8" s="499">
        <f t="shared" si="0"/>
        <v>0</v>
      </c>
      <c r="H8" s="139">
        <f t="shared" si="0"/>
        <v>6145.2599999999948</v>
      </c>
    </row>
    <row r="9" spans="1:9" x14ac:dyDescent="0.25">
      <c r="A9" s="529" t="s">
        <v>698</v>
      </c>
      <c r="B9" s="531" t="s">
        <v>1172</v>
      </c>
      <c r="C9" s="724">
        <v>2587233.14</v>
      </c>
      <c r="D9" s="725">
        <v>165339.66</v>
      </c>
      <c r="E9" s="724">
        <v>3458661.46</v>
      </c>
      <c r="F9" s="725">
        <v>240484.62</v>
      </c>
      <c r="G9" s="499">
        <f t="shared" si="0"/>
        <v>871428.31999999983</v>
      </c>
      <c r="H9" s="139">
        <f t="shared" si="0"/>
        <v>75144.959999999992</v>
      </c>
    </row>
    <row r="10" spans="1:9" x14ac:dyDescent="0.25">
      <c r="A10" s="529" t="s">
        <v>700</v>
      </c>
      <c r="B10" s="531" t="s">
        <v>1173</v>
      </c>
      <c r="C10" s="724">
        <v>1620226.58</v>
      </c>
      <c r="D10" s="725">
        <v>107719.56</v>
      </c>
      <c r="E10" s="724">
        <v>1138275.81</v>
      </c>
      <c r="F10" s="725">
        <v>99600.15</v>
      </c>
      <c r="G10" s="499">
        <f t="shared" si="0"/>
        <v>-481950.77</v>
      </c>
      <c r="H10" s="139">
        <f t="shared" si="0"/>
        <v>-8119.4100000000035</v>
      </c>
    </row>
    <row r="11" spans="1:9" x14ac:dyDescent="0.25">
      <c r="A11" s="529" t="s">
        <v>702</v>
      </c>
      <c r="B11" s="531" t="s">
        <v>1174</v>
      </c>
      <c r="C11" s="724">
        <v>71238.83</v>
      </c>
      <c r="D11" s="725">
        <v>11727.23</v>
      </c>
      <c r="E11" s="724">
        <v>96249.11</v>
      </c>
      <c r="F11" s="725">
        <v>12862.97</v>
      </c>
      <c r="G11" s="499">
        <f t="shared" si="0"/>
        <v>25010.28</v>
      </c>
      <c r="H11" s="139">
        <f t="shared" si="0"/>
        <v>1135.7399999999998</v>
      </c>
    </row>
    <row r="12" spans="1:9" x14ac:dyDescent="0.25">
      <c r="A12" s="529" t="s">
        <v>704</v>
      </c>
      <c r="B12" s="531" t="s">
        <v>1175</v>
      </c>
      <c r="C12" s="724">
        <v>5327585.01</v>
      </c>
      <c r="D12" s="725">
        <v>911890.82</v>
      </c>
      <c r="E12" s="724">
        <v>6847764.0099999998</v>
      </c>
      <c r="F12" s="725">
        <v>752933.21</v>
      </c>
      <c r="G12" s="499">
        <f t="shared" si="0"/>
        <v>1520179</v>
      </c>
      <c r="H12" s="139">
        <f t="shared" si="0"/>
        <v>-158957.60999999999</v>
      </c>
    </row>
    <row r="13" spans="1:9" x14ac:dyDescent="0.25">
      <c r="A13" s="529" t="s">
        <v>706</v>
      </c>
      <c r="B13" s="531" t="s">
        <v>1176</v>
      </c>
      <c r="C13" s="724">
        <v>33259512.73</v>
      </c>
      <c r="D13" s="725">
        <v>2246981.7000000002</v>
      </c>
      <c r="E13" s="724">
        <v>33337827.379999999</v>
      </c>
      <c r="F13" s="725">
        <v>2661490.44</v>
      </c>
      <c r="G13" s="499">
        <f t="shared" si="0"/>
        <v>78314.64999999851</v>
      </c>
      <c r="H13" s="139">
        <f t="shared" si="0"/>
        <v>414508.73999999976</v>
      </c>
      <c r="I13" s="721">
        <f>E13+F13</f>
        <v>35999317.82</v>
      </c>
    </row>
    <row r="14" spans="1:9" x14ac:dyDescent="0.25">
      <c r="A14" s="529" t="s">
        <v>708</v>
      </c>
      <c r="B14" s="531" t="s">
        <v>1177</v>
      </c>
      <c r="C14" s="724">
        <v>11518642.380000001</v>
      </c>
      <c r="D14" s="725">
        <v>696124.5</v>
      </c>
      <c r="E14" s="724">
        <v>11416539.51</v>
      </c>
      <c r="F14" s="725">
        <v>864287.41</v>
      </c>
      <c r="G14" s="499">
        <f t="shared" si="0"/>
        <v>-102102.87000000104</v>
      </c>
      <c r="H14" s="139">
        <f t="shared" si="0"/>
        <v>168162.91000000003</v>
      </c>
      <c r="I14" s="721">
        <f>I13-'T5 - Analýza nákladov'!E60-'T5 - Analýza nákladov'!F60</f>
        <v>0</v>
      </c>
    </row>
    <row r="15" spans="1:9" x14ac:dyDescent="0.25">
      <c r="A15" s="529" t="s">
        <v>710</v>
      </c>
      <c r="B15" s="531" t="s">
        <v>1178</v>
      </c>
      <c r="C15" s="724">
        <v>237175.64</v>
      </c>
      <c r="D15" s="725">
        <v>4624.55</v>
      </c>
      <c r="E15" s="724">
        <v>246943.82</v>
      </c>
      <c r="F15" s="725">
        <v>5722.58</v>
      </c>
      <c r="G15" s="499">
        <f t="shared" si="0"/>
        <v>9768.179999999993</v>
      </c>
      <c r="H15" s="139">
        <f t="shared" si="0"/>
        <v>1098.0299999999997</v>
      </c>
    </row>
    <row r="16" spans="1:9" x14ac:dyDescent="0.25">
      <c r="A16" s="529" t="s">
        <v>712</v>
      </c>
      <c r="B16" s="531" t="s">
        <v>1179</v>
      </c>
      <c r="C16" s="724">
        <v>1328002.31</v>
      </c>
      <c r="D16" s="725">
        <v>45285.55</v>
      </c>
      <c r="E16" s="724">
        <v>1416072.59</v>
      </c>
      <c r="F16" s="725">
        <v>45428.84</v>
      </c>
      <c r="G16" s="499">
        <f t="shared" si="0"/>
        <v>88070.280000000028</v>
      </c>
      <c r="H16" s="139">
        <f t="shared" si="0"/>
        <v>143.2899999999936</v>
      </c>
    </row>
    <row r="17" spans="1:8" x14ac:dyDescent="0.25">
      <c r="A17" s="529" t="s">
        <v>714</v>
      </c>
      <c r="B17" s="531" t="s">
        <v>1180</v>
      </c>
      <c r="C17" s="724">
        <v>4448.7299999999996</v>
      </c>
      <c r="D17" s="725">
        <v>3435.77</v>
      </c>
      <c r="E17" s="724">
        <v>2868.43</v>
      </c>
      <c r="F17" s="725">
        <v>462.23</v>
      </c>
      <c r="G17" s="499">
        <f t="shared" si="0"/>
        <v>-1580.2999999999997</v>
      </c>
      <c r="H17" s="139">
        <f t="shared" si="0"/>
        <v>-2973.54</v>
      </c>
    </row>
    <row r="18" spans="1:8" x14ac:dyDescent="0.25">
      <c r="A18" s="529" t="s">
        <v>716</v>
      </c>
      <c r="B18" s="531" t="s">
        <v>1181</v>
      </c>
      <c r="C18" s="724">
        <v>0</v>
      </c>
      <c r="D18" s="725">
        <v>2492.23</v>
      </c>
      <c r="E18" s="724">
        <v>0</v>
      </c>
      <c r="F18" s="725">
        <v>3834.66</v>
      </c>
      <c r="G18" s="499">
        <f t="shared" si="0"/>
        <v>0</v>
      </c>
      <c r="H18" s="139">
        <f t="shared" si="0"/>
        <v>1342.4299999999998</v>
      </c>
    </row>
    <row r="19" spans="1:8" x14ac:dyDescent="0.25">
      <c r="A19" s="529" t="s">
        <v>718</v>
      </c>
      <c r="B19" s="531" t="s">
        <v>1182</v>
      </c>
      <c r="C19" s="724">
        <v>173176.62</v>
      </c>
      <c r="D19" s="725">
        <v>37710.620000000003</v>
      </c>
      <c r="E19" s="724">
        <v>171462.94</v>
      </c>
      <c r="F19" s="725">
        <v>39717.449999999997</v>
      </c>
      <c r="G19" s="499">
        <f t="shared" si="0"/>
        <v>-1713.679999999993</v>
      </c>
      <c r="H19" s="139">
        <f t="shared" si="0"/>
        <v>2006.8299999999945</v>
      </c>
    </row>
    <row r="20" spans="1:8" x14ac:dyDescent="0.25">
      <c r="A20" s="529" t="s">
        <v>720</v>
      </c>
      <c r="B20" s="531" t="s">
        <v>1183</v>
      </c>
      <c r="C20" s="724">
        <v>34231.82</v>
      </c>
      <c r="D20" s="725">
        <v>4171.01</v>
      </c>
      <c r="E20" s="724">
        <v>52433.94</v>
      </c>
      <c r="F20" s="725">
        <v>2257.69</v>
      </c>
      <c r="G20" s="499">
        <f t="shared" si="0"/>
        <v>18202.120000000003</v>
      </c>
      <c r="H20" s="139">
        <f t="shared" si="0"/>
        <v>-1913.3200000000002</v>
      </c>
    </row>
    <row r="21" spans="1:8" x14ac:dyDescent="0.25">
      <c r="A21" s="529" t="s">
        <v>722</v>
      </c>
      <c r="B21" s="531" t="s">
        <v>1184</v>
      </c>
      <c r="C21" s="724">
        <v>11.29</v>
      </c>
      <c r="D21" s="725">
        <v>0.77</v>
      </c>
      <c r="E21" s="724">
        <v>1041.53</v>
      </c>
      <c r="F21" s="725">
        <v>28.67</v>
      </c>
      <c r="G21" s="499">
        <f t="shared" si="0"/>
        <v>1030.24</v>
      </c>
      <c r="H21" s="139">
        <f t="shared" si="0"/>
        <v>27.900000000000002</v>
      </c>
    </row>
    <row r="22" spans="1:8" x14ac:dyDescent="0.25">
      <c r="A22" s="529" t="s">
        <v>724</v>
      </c>
      <c r="B22" s="531" t="s">
        <v>1185</v>
      </c>
      <c r="C22" s="724">
        <v>4028</v>
      </c>
      <c r="D22" s="725">
        <v>481.44</v>
      </c>
      <c r="E22" s="724">
        <v>3918.37</v>
      </c>
      <c r="F22" s="725">
        <v>580.27</v>
      </c>
      <c r="G22" s="499">
        <f t="shared" si="0"/>
        <v>-109.63000000000011</v>
      </c>
      <c r="H22" s="139">
        <f t="shared" si="0"/>
        <v>98.829999999999984</v>
      </c>
    </row>
    <row r="23" spans="1:8" x14ac:dyDescent="0.25">
      <c r="A23" s="529" t="s">
        <v>726</v>
      </c>
      <c r="B23" s="531" t="s">
        <v>1186</v>
      </c>
      <c r="C23" s="724">
        <v>0</v>
      </c>
      <c r="D23" s="725">
        <v>27641.08</v>
      </c>
      <c r="E23" s="724">
        <v>50</v>
      </c>
      <c r="F23" s="725">
        <v>11656.67</v>
      </c>
      <c r="G23" s="499">
        <f t="shared" si="0"/>
        <v>50</v>
      </c>
      <c r="H23" s="139">
        <f t="shared" si="0"/>
        <v>-15984.410000000002</v>
      </c>
    </row>
    <row r="24" spans="1:8" x14ac:dyDescent="0.25">
      <c r="A24" s="529" t="s">
        <v>728</v>
      </c>
      <c r="B24" s="531" t="s">
        <v>1187</v>
      </c>
      <c r="C24" s="724">
        <v>97.65</v>
      </c>
      <c r="D24" s="725">
        <v>0</v>
      </c>
      <c r="E24" s="724">
        <v>0</v>
      </c>
      <c r="F24" s="725">
        <v>0</v>
      </c>
      <c r="G24" s="499">
        <f t="shared" si="0"/>
        <v>-97.65</v>
      </c>
      <c r="H24" s="139">
        <f t="shared" si="0"/>
        <v>0</v>
      </c>
    </row>
    <row r="25" spans="1:8" x14ac:dyDescent="0.25">
      <c r="A25" s="529" t="s">
        <v>730</v>
      </c>
      <c r="B25" s="531" t="s">
        <v>1188</v>
      </c>
      <c r="C25" s="724">
        <v>3389.92</v>
      </c>
      <c r="D25" s="725">
        <v>556.91</v>
      </c>
      <c r="E25" s="724">
        <v>4701.99</v>
      </c>
      <c r="F25" s="725">
        <v>538.80999999999995</v>
      </c>
      <c r="G25" s="499">
        <f t="shared" si="0"/>
        <v>1312.0699999999997</v>
      </c>
      <c r="H25" s="139">
        <f t="shared" si="0"/>
        <v>-18.100000000000023</v>
      </c>
    </row>
    <row r="26" spans="1:8" x14ac:dyDescent="0.25">
      <c r="A26" s="529" t="s">
        <v>732</v>
      </c>
      <c r="B26" s="531" t="s">
        <v>1189</v>
      </c>
      <c r="C26" s="724">
        <v>718.71</v>
      </c>
      <c r="D26" s="725">
        <v>0</v>
      </c>
      <c r="E26" s="724">
        <v>0</v>
      </c>
      <c r="F26" s="725">
        <v>0</v>
      </c>
      <c r="G26" s="499">
        <f t="shared" si="0"/>
        <v>-718.71</v>
      </c>
      <c r="H26" s="139">
        <f t="shared" si="0"/>
        <v>0</v>
      </c>
    </row>
    <row r="27" spans="1:8" x14ac:dyDescent="0.25">
      <c r="A27" s="529" t="s">
        <v>734</v>
      </c>
      <c r="B27" s="531" t="s">
        <v>1190</v>
      </c>
      <c r="C27" s="724">
        <v>13897.69</v>
      </c>
      <c r="D27" s="725">
        <v>6715.59</v>
      </c>
      <c r="E27" s="724">
        <v>24261.3</v>
      </c>
      <c r="F27" s="725">
        <v>1853.09</v>
      </c>
      <c r="G27" s="499">
        <f t="shared" si="0"/>
        <v>10363.609999999999</v>
      </c>
      <c r="H27" s="139">
        <f t="shared" si="0"/>
        <v>-4862.5</v>
      </c>
    </row>
    <row r="28" spans="1:8" x14ac:dyDescent="0.25">
      <c r="A28" s="529" t="s">
        <v>736</v>
      </c>
      <c r="B28" s="531" t="s">
        <v>1191</v>
      </c>
      <c r="C28" s="724">
        <v>68660.160000000003</v>
      </c>
      <c r="D28" s="725">
        <v>2056.35</v>
      </c>
      <c r="E28" s="724">
        <v>64248.160000000003</v>
      </c>
      <c r="F28" s="725">
        <v>0</v>
      </c>
      <c r="G28" s="499">
        <f t="shared" si="0"/>
        <v>-4412</v>
      </c>
      <c r="H28" s="139">
        <f t="shared" si="0"/>
        <v>-2056.35</v>
      </c>
    </row>
    <row r="29" spans="1:8" x14ac:dyDescent="0.25">
      <c r="A29" s="529" t="s">
        <v>738</v>
      </c>
      <c r="B29" s="531" t="s">
        <v>1192</v>
      </c>
      <c r="C29" s="724">
        <v>6999226.9500000002</v>
      </c>
      <c r="D29" s="725">
        <v>328135.12</v>
      </c>
      <c r="E29" s="724">
        <v>6385056.8399999999</v>
      </c>
      <c r="F29" s="725">
        <v>354018.9</v>
      </c>
      <c r="G29" s="499">
        <f t="shared" si="0"/>
        <v>-614170.11000000034</v>
      </c>
      <c r="H29" s="139">
        <f t="shared" si="0"/>
        <v>25883.780000000028</v>
      </c>
    </row>
    <row r="30" spans="1:8" x14ac:dyDescent="0.25">
      <c r="A30" s="529" t="s">
        <v>740</v>
      </c>
      <c r="B30" s="531" t="s">
        <v>1193</v>
      </c>
      <c r="C30" s="724">
        <v>10748691.539999999</v>
      </c>
      <c r="D30" s="725">
        <v>31024.21</v>
      </c>
      <c r="E30" s="724">
        <v>12187759.98</v>
      </c>
      <c r="F30" s="725">
        <v>35358.980000000003</v>
      </c>
      <c r="G30" s="499">
        <f t="shared" si="0"/>
        <v>1439068.4400000013</v>
      </c>
      <c r="H30" s="139">
        <f t="shared" si="0"/>
        <v>4334.7700000000041</v>
      </c>
    </row>
    <row r="31" spans="1:8" x14ac:dyDescent="0.25">
      <c r="A31" s="529" t="s">
        <v>741</v>
      </c>
      <c r="B31" s="531" t="s">
        <v>1194</v>
      </c>
      <c r="C31" s="724">
        <v>0</v>
      </c>
      <c r="D31" s="725">
        <v>66219.679999999993</v>
      </c>
      <c r="E31" s="724">
        <v>555.27</v>
      </c>
      <c r="F31" s="725">
        <v>0</v>
      </c>
      <c r="G31" s="499">
        <f t="shared" si="0"/>
        <v>555.27</v>
      </c>
      <c r="H31" s="139">
        <f t="shared" si="0"/>
        <v>-66219.679999999993</v>
      </c>
    </row>
    <row r="32" spans="1:8" x14ac:dyDescent="0.25">
      <c r="A32" s="529" t="s">
        <v>743</v>
      </c>
      <c r="B32" s="531" t="s">
        <v>1195</v>
      </c>
      <c r="C32" s="724">
        <v>0</v>
      </c>
      <c r="D32" s="725">
        <v>0</v>
      </c>
      <c r="E32" s="724">
        <v>0</v>
      </c>
      <c r="F32" s="725">
        <v>0</v>
      </c>
      <c r="G32" s="499">
        <f t="shared" si="0"/>
        <v>0</v>
      </c>
      <c r="H32" s="139">
        <f t="shared" si="0"/>
        <v>0</v>
      </c>
    </row>
    <row r="33" spans="1:10" x14ac:dyDescent="0.25">
      <c r="A33" s="529" t="s">
        <v>745</v>
      </c>
      <c r="B33" s="531" t="s">
        <v>1196</v>
      </c>
      <c r="C33" s="724">
        <v>0</v>
      </c>
      <c r="D33" s="725">
        <v>0</v>
      </c>
      <c r="E33" s="724">
        <v>0</v>
      </c>
      <c r="F33" s="725">
        <v>0</v>
      </c>
      <c r="G33" s="499">
        <f t="shared" si="0"/>
        <v>0</v>
      </c>
      <c r="H33" s="139">
        <f t="shared" si="0"/>
        <v>0</v>
      </c>
    </row>
    <row r="34" spans="1:10" x14ac:dyDescent="0.25">
      <c r="A34" s="529" t="s">
        <v>747</v>
      </c>
      <c r="B34" s="531" t="s">
        <v>1197</v>
      </c>
      <c r="C34" s="724">
        <v>0</v>
      </c>
      <c r="D34" s="725">
        <v>0</v>
      </c>
      <c r="E34" s="724">
        <v>0</v>
      </c>
      <c r="F34" s="725">
        <v>0</v>
      </c>
      <c r="G34" s="499">
        <f t="shared" si="0"/>
        <v>0</v>
      </c>
      <c r="H34" s="139">
        <f t="shared" si="0"/>
        <v>0</v>
      </c>
    </row>
    <row r="35" spans="1:10" x14ac:dyDescent="0.25">
      <c r="A35" s="529" t="s">
        <v>749</v>
      </c>
      <c r="B35" s="531" t="s">
        <v>1198</v>
      </c>
      <c r="C35" s="724">
        <v>3851035.54</v>
      </c>
      <c r="D35" s="725">
        <v>0</v>
      </c>
      <c r="E35" s="724">
        <v>3661254.58</v>
      </c>
      <c r="F35" s="725">
        <v>0</v>
      </c>
      <c r="G35" s="499">
        <f t="shared" si="0"/>
        <v>-189780.95999999996</v>
      </c>
      <c r="H35" s="139">
        <f t="shared" si="0"/>
        <v>0</v>
      </c>
    </row>
    <row r="36" spans="1:10" x14ac:dyDescent="0.25">
      <c r="A36" s="529" t="s">
        <v>751</v>
      </c>
      <c r="B36" s="531" t="s">
        <v>1199</v>
      </c>
      <c r="C36" s="724">
        <v>0</v>
      </c>
      <c r="D36" s="725">
        <v>0</v>
      </c>
      <c r="E36" s="724">
        <v>0</v>
      </c>
      <c r="F36" s="725">
        <v>0</v>
      </c>
      <c r="G36" s="499">
        <f t="shared" si="0"/>
        <v>0</v>
      </c>
      <c r="H36" s="139">
        <f t="shared" si="0"/>
        <v>0</v>
      </c>
    </row>
    <row r="37" spans="1:10" x14ac:dyDescent="0.25">
      <c r="A37" s="529" t="s">
        <v>753</v>
      </c>
      <c r="B37" s="531" t="s">
        <v>1200</v>
      </c>
      <c r="C37" s="724">
        <v>0</v>
      </c>
      <c r="D37" s="725">
        <v>-10475.84</v>
      </c>
      <c r="E37" s="724">
        <v>-2497.2600000000002</v>
      </c>
      <c r="F37" s="725">
        <v>-1625.57</v>
      </c>
      <c r="G37" s="499">
        <f t="shared" si="0"/>
        <v>-2497.2600000000002</v>
      </c>
      <c r="H37" s="139">
        <f t="shared" si="0"/>
        <v>8850.27</v>
      </c>
    </row>
    <row r="38" spans="1:10" x14ac:dyDescent="0.25">
      <c r="A38" s="529" t="s">
        <v>754</v>
      </c>
      <c r="B38" s="531" t="s">
        <v>1201</v>
      </c>
      <c r="C38" s="724">
        <v>0</v>
      </c>
      <c r="D38" s="725">
        <v>0</v>
      </c>
      <c r="E38" s="724">
        <v>0</v>
      </c>
      <c r="F38" s="725">
        <v>0</v>
      </c>
      <c r="G38" s="499">
        <f t="shared" si="0"/>
        <v>0</v>
      </c>
      <c r="H38" s="139">
        <f t="shared" si="0"/>
        <v>0</v>
      </c>
    </row>
    <row r="39" spans="1:10" x14ac:dyDescent="0.25">
      <c r="A39" s="529" t="s">
        <v>756</v>
      </c>
      <c r="B39" s="531" t="s">
        <v>1202</v>
      </c>
      <c r="C39" s="724">
        <v>876795.14</v>
      </c>
      <c r="D39" s="725">
        <v>150</v>
      </c>
      <c r="E39" s="724">
        <v>1666097</v>
      </c>
      <c r="F39" s="725">
        <v>150</v>
      </c>
      <c r="G39" s="499">
        <f t="shared" si="0"/>
        <v>789301.86</v>
      </c>
      <c r="H39" s="139">
        <f t="shared" si="0"/>
        <v>0</v>
      </c>
    </row>
    <row r="40" spans="1:10" x14ac:dyDescent="0.25">
      <c r="A40" s="529" t="s">
        <v>758</v>
      </c>
      <c r="B40" s="531" t="s">
        <v>1203</v>
      </c>
      <c r="C40" s="724">
        <v>0</v>
      </c>
      <c r="D40" s="725">
        <v>0</v>
      </c>
      <c r="E40" s="724">
        <v>0</v>
      </c>
      <c r="F40" s="725">
        <v>0</v>
      </c>
      <c r="G40" s="499">
        <f t="shared" si="0"/>
        <v>0</v>
      </c>
      <c r="H40" s="139">
        <f t="shared" si="0"/>
        <v>0</v>
      </c>
    </row>
    <row r="41" spans="1:10" x14ac:dyDescent="0.25">
      <c r="A41" s="529" t="s">
        <v>760</v>
      </c>
      <c r="B41" s="531" t="s">
        <v>1204</v>
      </c>
      <c r="C41" s="724">
        <v>0</v>
      </c>
      <c r="D41" s="725">
        <v>0</v>
      </c>
      <c r="E41" s="724">
        <v>0</v>
      </c>
      <c r="F41" s="725">
        <v>0</v>
      </c>
      <c r="G41" s="499">
        <f t="shared" si="0"/>
        <v>0</v>
      </c>
      <c r="H41" s="139">
        <f t="shared" si="0"/>
        <v>0</v>
      </c>
    </row>
    <row r="42" spans="1:10" ht="16.5" thickBot="1" x14ac:dyDescent="0.3">
      <c r="A42" s="538" t="s">
        <v>762</v>
      </c>
      <c r="B42" s="539" t="s">
        <v>1205</v>
      </c>
      <c r="C42" s="726">
        <v>0</v>
      </c>
      <c r="D42" s="727">
        <v>0</v>
      </c>
      <c r="E42" s="726">
        <v>0</v>
      </c>
      <c r="F42" s="727">
        <v>0</v>
      </c>
      <c r="G42" s="504">
        <f t="shared" si="0"/>
        <v>0</v>
      </c>
      <c r="H42" s="505">
        <f t="shared" si="0"/>
        <v>0</v>
      </c>
    </row>
    <row r="43" spans="1:10" ht="16.5" thickBot="1" x14ac:dyDescent="0.3">
      <c r="A43" s="540" t="s">
        <v>763</v>
      </c>
      <c r="B43" s="541" t="s">
        <v>1206</v>
      </c>
      <c r="C43" s="728">
        <f>SUM(C6:C42)</f>
        <v>88154722.430000007</v>
      </c>
      <c r="D43" s="728">
        <f>SUM(D6:D42)</f>
        <v>5880569.6899999995</v>
      </c>
      <c r="E43" s="729">
        <f>SUM(E6:E42)</f>
        <v>91239839.859999985</v>
      </c>
      <c r="F43" s="730">
        <f>SUM(F6:F42)</f>
        <v>6434478.3500000006</v>
      </c>
      <c r="G43" s="513">
        <f>E43-C43</f>
        <v>3085117.4299999774</v>
      </c>
      <c r="H43" s="514">
        <f>F43-D43</f>
        <v>553908.66000000108</v>
      </c>
    </row>
    <row r="44" spans="1:10" x14ac:dyDescent="0.25">
      <c r="C44" s="721"/>
      <c r="F44" s="638">
        <f>E43+F43-F42-E42</f>
        <v>97674318.209999979</v>
      </c>
      <c r="I44" s="637" t="s">
        <v>1455</v>
      </c>
    </row>
    <row r="45" spans="1:10" x14ac:dyDescent="0.25">
      <c r="D45" s="721">
        <f>C43+D43</f>
        <v>94035292.120000005</v>
      </c>
      <c r="F45" s="721">
        <f>E43+F43</f>
        <v>97674318.209999979</v>
      </c>
      <c r="I45" s="838" t="s">
        <v>1455</v>
      </c>
      <c r="J45" s="838" t="s">
        <v>1548</v>
      </c>
    </row>
    <row r="47" spans="1:10" ht="16.5" thickBot="1" x14ac:dyDescent="0.3">
      <c r="B47" s="848"/>
      <c r="E47" s="658">
        <f>'T5 - Analýza nákladov'!E102</f>
        <v>91239839.860000014</v>
      </c>
      <c r="F47" s="658">
        <f>'T5 - Analýza nákladov'!F102</f>
        <v>6710539.5299999993</v>
      </c>
      <c r="I47" s="846" t="s">
        <v>1554</v>
      </c>
    </row>
    <row r="48" spans="1:10" x14ac:dyDescent="0.25">
      <c r="B48" s="848"/>
      <c r="E48" s="721">
        <f>E47-E43</f>
        <v>0</v>
      </c>
      <c r="F48" s="721">
        <f>F47-F43</f>
        <v>276061.17999999877</v>
      </c>
      <c r="I48" s="1" t="s">
        <v>1550</v>
      </c>
    </row>
    <row r="49" spans="5:6" x14ac:dyDescent="0.25">
      <c r="E49" s="1" t="s">
        <v>1555</v>
      </c>
    </row>
    <row r="50" spans="5:6" x14ac:dyDescent="0.25">
      <c r="E50" s="1" t="s">
        <v>1556</v>
      </c>
    </row>
    <row r="51" spans="5:6" x14ac:dyDescent="0.25">
      <c r="E51" s="721"/>
      <c r="F51" s="721"/>
    </row>
    <row r="869" spans="6:6" x14ac:dyDescent="0.25">
      <c r="F869" s="1" t="s">
        <v>415</v>
      </c>
    </row>
    <row r="888" spans="4:4" x14ac:dyDescent="0.25">
      <c r="D888" s="1" t="s">
        <v>414</v>
      </c>
    </row>
  </sheetData>
  <mergeCells count="7">
    <mergeCell ref="A1:H1"/>
    <mergeCell ref="A2:H2"/>
    <mergeCell ref="A3:A4"/>
    <mergeCell ref="B3:B4"/>
    <mergeCell ref="C3:D3"/>
    <mergeCell ref="E3:F3"/>
    <mergeCell ref="G3:H3"/>
  </mergeCells>
  <printOptions gridLines="1"/>
  <pageMargins left="0.74803149606299213" right="0.74803149606299213" top="0.43307086614173229" bottom="0.39370078740157483" header="0.39370078740157483" footer="0.23622047244094491"/>
  <pageSetup paperSize="9" scale="71" orientation="landscape" r:id="rId1"/>
  <headerFooter alignWithMargins="0"/>
  <rowBreaks count="1" manualBreakCount="1">
    <brk id="43"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enableFormatConditionsCalculation="0">
    <tabColor indexed="42"/>
    <pageSetUpPr fitToPage="1"/>
  </sheetPr>
  <dimension ref="A1:M43"/>
  <sheetViews>
    <sheetView zoomScale="70" zoomScaleNormal="70" workbookViewId="0">
      <pane xSplit="2" ySplit="6" topLeftCell="F28" activePane="bottomRight" state="frozen"/>
      <selection pane="topRight" activeCell="C1" sqref="C1"/>
      <selection pane="bottomLeft" activeCell="A7" sqref="A7"/>
      <selection pane="bottomRight" activeCell="B40" sqref="B40"/>
    </sheetView>
  </sheetViews>
  <sheetFormatPr defaultColWidth="9.140625" defaultRowHeight="15.75" x14ac:dyDescent="0.2"/>
  <cols>
    <col min="1" max="1" width="5.5703125" style="23" customWidth="1"/>
    <col min="2" max="2" width="65.42578125" style="48" customWidth="1"/>
    <col min="3" max="3" width="14.5703125" style="19" customWidth="1"/>
    <col min="4" max="4" width="14" style="19" customWidth="1"/>
    <col min="5" max="5" width="15.85546875" style="19" customWidth="1"/>
    <col min="6" max="6" width="15.5703125" style="19" customWidth="1"/>
    <col min="7" max="7" width="19.140625" style="19" customWidth="1"/>
    <col min="8" max="8" width="18.5703125" style="19" customWidth="1"/>
    <col min="9" max="9" width="16.42578125" style="19" customWidth="1"/>
    <col min="10" max="10" width="25.5703125" style="19" customWidth="1"/>
    <col min="11" max="11" width="13.42578125" style="19" customWidth="1"/>
    <col min="12" max="12" width="9.140625" style="19"/>
    <col min="13" max="13" width="14.140625" style="19" bestFit="1" customWidth="1"/>
    <col min="14" max="16384" width="9.140625" style="19"/>
  </cols>
  <sheetData>
    <row r="1" spans="1:11" ht="35.1" customHeight="1" thickBot="1" x14ac:dyDescent="0.25">
      <c r="A1" s="982" t="s">
        <v>1268</v>
      </c>
      <c r="B1" s="983"/>
      <c r="C1" s="983"/>
      <c r="D1" s="983"/>
      <c r="E1" s="983"/>
      <c r="F1" s="983"/>
      <c r="G1" s="983"/>
      <c r="H1" s="983"/>
      <c r="I1" s="983"/>
      <c r="J1" s="983"/>
      <c r="K1" s="983"/>
    </row>
    <row r="2" spans="1:11" ht="35.450000000000003" customHeight="1" x14ac:dyDescent="0.2">
      <c r="A2" s="969" t="s">
        <v>427</v>
      </c>
      <c r="B2" s="970"/>
      <c r="C2" s="970"/>
      <c r="D2" s="970"/>
      <c r="E2" s="970"/>
      <c r="F2" s="970"/>
      <c r="G2" s="970"/>
      <c r="H2" s="970"/>
      <c r="I2" s="970"/>
      <c r="J2" s="970"/>
      <c r="K2" s="971"/>
    </row>
    <row r="3" spans="1:11" ht="42.75" customHeight="1" x14ac:dyDescent="0.2">
      <c r="A3" s="996" t="s">
        <v>228</v>
      </c>
      <c r="B3" s="940" t="s">
        <v>257</v>
      </c>
      <c r="C3" s="989" t="s">
        <v>1269</v>
      </c>
      <c r="D3" s="989"/>
      <c r="E3" s="989"/>
      <c r="F3" s="989"/>
      <c r="G3" s="989" t="s">
        <v>917</v>
      </c>
      <c r="H3" s="990" t="s">
        <v>331</v>
      </c>
      <c r="I3" s="989" t="s">
        <v>919</v>
      </c>
      <c r="J3" s="984" t="s">
        <v>920</v>
      </c>
      <c r="K3" s="992" t="s">
        <v>1123</v>
      </c>
    </row>
    <row r="4" spans="1:11" ht="34.5" customHeight="1" x14ac:dyDescent="0.2">
      <c r="A4" s="997"/>
      <c r="B4" s="995"/>
      <c r="C4" s="994" t="s">
        <v>255</v>
      </c>
      <c r="D4" s="14" t="s">
        <v>331</v>
      </c>
      <c r="E4" s="994" t="s">
        <v>256</v>
      </c>
      <c r="F4" s="994" t="s">
        <v>206</v>
      </c>
      <c r="G4" s="994"/>
      <c r="H4" s="991"/>
      <c r="I4" s="994"/>
      <c r="J4" s="985"/>
      <c r="K4" s="992"/>
    </row>
    <row r="5" spans="1:11" s="74" customFormat="1" ht="63" x14ac:dyDescent="0.2">
      <c r="A5" s="997"/>
      <c r="B5" s="995"/>
      <c r="C5" s="994"/>
      <c r="D5" s="14" t="s">
        <v>856</v>
      </c>
      <c r="E5" s="994"/>
      <c r="F5" s="994"/>
      <c r="G5" s="994"/>
      <c r="H5" s="14" t="s">
        <v>918</v>
      </c>
      <c r="I5" s="994"/>
      <c r="J5" s="985"/>
      <c r="K5" s="993"/>
    </row>
    <row r="6" spans="1:11" s="75" customFormat="1" ht="18" customHeight="1" x14ac:dyDescent="0.2">
      <c r="A6" s="136"/>
      <c r="B6" s="63"/>
      <c r="C6" s="16" t="s">
        <v>314</v>
      </c>
      <c r="D6" s="16" t="s">
        <v>315</v>
      </c>
      <c r="E6" s="16" t="s">
        <v>316</v>
      </c>
      <c r="F6" s="16" t="s">
        <v>207</v>
      </c>
      <c r="G6" s="16" t="s">
        <v>317</v>
      </c>
      <c r="H6" s="16" t="s">
        <v>318</v>
      </c>
      <c r="I6" s="16" t="s">
        <v>319</v>
      </c>
      <c r="J6" s="461" t="s">
        <v>208</v>
      </c>
      <c r="K6" s="633" t="s">
        <v>1124</v>
      </c>
    </row>
    <row r="7" spans="1:11" s="22" customFormat="1" x14ac:dyDescent="0.2">
      <c r="A7" s="30">
        <v>1</v>
      </c>
      <c r="B7" s="45" t="s">
        <v>310</v>
      </c>
      <c r="C7" s="814">
        <f>SUM(C8:C12)</f>
        <v>1039.25</v>
      </c>
      <c r="D7" s="814">
        <f>SUM(D8:D12)</f>
        <v>1025.98</v>
      </c>
      <c r="E7" s="814">
        <f>SUM(E8:E12)</f>
        <v>5.53</v>
      </c>
      <c r="F7" s="814">
        <f t="shared" ref="F7:F13" si="0">C7+E7</f>
        <v>1044.78</v>
      </c>
      <c r="G7" s="60">
        <f>SUM(G8:G12)</f>
        <v>16825670.470000003</v>
      </c>
      <c r="H7" s="60">
        <f>SUM(H8:H12)</f>
        <v>16251007.49</v>
      </c>
      <c r="I7" s="60">
        <f>SUM(I8:I12)</f>
        <v>900196.21</v>
      </c>
      <c r="J7" s="151">
        <f t="shared" ref="J7:J13" si="1">G7+I7</f>
        <v>17725866.680000003</v>
      </c>
      <c r="K7" s="464">
        <f>IF(F7=0,0,J7/F7/12)</f>
        <v>1413.8436385331524</v>
      </c>
    </row>
    <row r="8" spans="1:11" x14ac:dyDescent="0.2">
      <c r="A8" s="30">
        <v>2</v>
      </c>
      <c r="B8" s="26" t="s">
        <v>1125</v>
      </c>
      <c r="C8" s="815">
        <v>173.27</v>
      </c>
      <c r="D8" s="815">
        <v>172.03</v>
      </c>
      <c r="E8" s="815">
        <v>2.0299999999999998</v>
      </c>
      <c r="F8" s="814">
        <f t="shared" si="0"/>
        <v>175.3</v>
      </c>
      <c r="G8" s="816">
        <v>4135081.01</v>
      </c>
      <c r="H8" s="816">
        <v>3953451.01</v>
      </c>
      <c r="I8" s="816">
        <v>318189.84000000003</v>
      </c>
      <c r="J8" s="151">
        <f t="shared" si="1"/>
        <v>4453270.8499999996</v>
      </c>
      <c r="K8" s="464">
        <f t="shared" ref="K8:K30" si="2">IF(F8=0,0,J8/F8/12)</f>
        <v>2116.9760648412243</v>
      </c>
    </row>
    <row r="9" spans="1:11" x14ac:dyDescent="0.2">
      <c r="A9" s="30">
        <v>3</v>
      </c>
      <c r="B9" s="26" t="s">
        <v>258</v>
      </c>
      <c r="C9" s="815">
        <v>325.10000000000002</v>
      </c>
      <c r="D9" s="815">
        <v>320.85000000000002</v>
      </c>
      <c r="E9" s="815">
        <v>0.65</v>
      </c>
      <c r="F9" s="814">
        <f t="shared" si="0"/>
        <v>325.75</v>
      </c>
      <c r="G9" s="816">
        <v>5708504.04</v>
      </c>
      <c r="H9" s="816">
        <v>5488317.5</v>
      </c>
      <c r="I9" s="816">
        <v>294676.86</v>
      </c>
      <c r="J9" s="151">
        <f t="shared" si="1"/>
        <v>6003180.9000000004</v>
      </c>
      <c r="K9" s="464">
        <f t="shared" si="2"/>
        <v>1535.7331542594013</v>
      </c>
    </row>
    <row r="10" spans="1:11" x14ac:dyDescent="0.2">
      <c r="A10" s="30">
        <v>4</v>
      </c>
      <c r="B10" s="26" t="s">
        <v>259</v>
      </c>
      <c r="C10" s="815">
        <v>521.72</v>
      </c>
      <c r="D10" s="815">
        <v>513.94000000000005</v>
      </c>
      <c r="E10" s="815">
        <v>2.82</v>
      </c>
      <c r="F10" s="814">
        <f t="shared" si="0"/>
        <v>524.54000000000008</v>
      </c>
      <c r="G10" s="816">
        <v>6768564.75</v>
      </c>
      <c r="H10" s="816">
        <v>6595718.3099999996</v>
      </c>
      <c r="I10" s="816">
        <v>284731.99</v>
      </c>
      <c r="J10" s="151">
        <f t="shared" si="1"/>
        <v>7053296.7400000002</v>
      </c>
      <c r="K10" s="464">
        <f t="shared" si="2"/>
        <v>1120.5527287401023</v>
      </c>
    </row>
    <row r="11" spans="1:11" x14ac:dyDescent="0.2">
      <c r="A11" s="30">
        <v>5</v>
      </c>
      <c r="B11" s="26" t="s">
        <v>260</v>
      </c>
      <c r="C11" s="815">
        <v>7.19</v>
      </c>
      <c r="D11" s="815">
        <v>7.19</v>
      </c>
      <c r="E11" s="815">
        <v>0.03</v>
      </c>
      <c r="F11" s="814">
        <f t="shared" si="0"/>
        <v>7.2200000000000006</v>
      </c>
      <c r="G11" s="816">
        <v>77669.399999999994</v>
      </c>
      <c r="H11" s="816">
        <v>77669.399999999994</v>
      </c>
      <c r="I11" s="816">
        <v>2347.52</v>
      </c>
      <c r="J11" s="151">
        <f t="shared" si="1"/>
        <v>80016.92</v>
      </c>
      <c r="K11" s="464">
        <f t="shared" si="2"/>
        <v>923.5563250230839</v>
      </c>
    </row>
    <row r="12" spans="1:11" x14ac:dyDescent="0.2">
      <c r="A12" s="30">
        <v>6</v>
      </c>
      <c r="B12" s="26" t="s">
        <v>261</v>
      </c>
      <c r="C12" s="815">
        <v>11.97</v>
      </c>
      <c r="D12" s="815">
        <v>11.97</v>
      </c>
      <c r="E12" s="815"/>
      <c r="F12" s="814">
        <f t="shared" si="0"/>
        <v>11.97</v>
      </c>
      <c r="G12" s="816">
        <v>135851.26999999999</v>
      </c>
      <c r="H12" s="816">
        <v>135851.26999999999</v>
      </c>
      <c r="I12" s="816">
        <v>250</v>
      </c>
      <c r="J12" s="151">
        <f t="shared" si="1"/>
        <v>136101.26999999999</v>
      </c>
      <c r="K12" s="464">
        <f t="shared" si="2"/>
        <v>947.51649958228893</v>
      </c>
    </row>
    <row r="13" spans="1:11" x14ac:dyDescent="0.2">
      <c r="A13" s="30">
        <v>7</v>
      </c>
      <c r="B13" s="45" t="s">
        <v>72</v>
      </c>
      <c r="C13" s="815">
        <v>239.53</v>
      </c>
      <c r="D13" s="815">
        <v>234.72</v>
      </c>
      <c r="E13" s="815">
        <v>10.84</v>
      </c>
      <c r="F13" s="814">
        <f t="shared" si="0"/>
        <v>250.37</v>
      </c>
      <c r="G13" s="816">
        <v>2163816.4300000002</v>
      </c>
      <c r="H13" s="816">
        <v>2084069.98</v>
      </c>
      <c r="I13" s="816">
        <v>831224.69</v>
      </c>
      <c r="J13" s="151">
        <f t="shared" si="1"/>
        <v>2995041.12</v>
      </c>
      <c r="K13" s="464">
        <f t="shared" si="2"/>
        <v>996.87166992850587</v>
      </c>
    </row>
    <row r="14" spans="1:11" x14ac:dyDescent="0.2">
      <c r="A14" s="30"/>
      <c r="B14" s="26" t="s">
        <v>331</v>
      </c>
      <c r="C14" s="817"/>
      <c r="D14" s="817"/>
      <c r="E14" s="817"/>
      <c r="F14" s="818"/>
      <c r="G14" s="819"/>
      <c r="H14" s="819"/>
      <c r="I14" s="819"/>
      <c r="J14" s="463"/>
      <c r="K14" s="464"/>
    </row>
    <row r="15" spans="1:11" x14ac:dyDescent="0.2">
      <c r="A15" s="30">
        <v>8</v>
      </c>
      <c r="B15" s="26" t="s">
        <v>76</v>
      </c>
      <c r="C15" s="815">
        <v>123.05</v>
      </c>
      <c r="D15" s="815">
        <v>121.51</v>
      </c>
      <c r="E15" s="815">
        <v>1.94</v>
      </c>
      <c r="F15" s="814">
        <f t="shared" ref="F15:F29" si="3">C15+E15</f>
        <v>124.99</v>
      </c>
      <c r="G15" s="816">
        <v>1148559.97</v>
      </c>
      <c r="H15" s="816">
        <v>1129000</v>
      </c>
      <c r="I15" s="816">
        <v>726885.58</v>
      </c>
      <c r="J15" s="151">
        <f t="shared" ref="J15:J22" si="4">G15+I15</f>
        <v>1875445.5499999998</v>
      </c>
      <c r="K15" s="464">
        <f t="shared" si="2"/>
        <v>1250.3970650985411</v>
      </c>
    </row>
    <row r="16" spans="1:11" x14ac:dyDescent="0.2">
      <c r="A16" s="30">
        <v>9</v>
      </c>
      <c r="B16" s="45" t="s">
        <v>311</v>
      </c>
      <c r="C16" s="814">
        <f>SUM(C17:C19)</f>
        <v>396.71000000000004</v>
      </c>
      <c r="D16" s="814">
        <f>SUM(D17:D19)</f>
        <v>395.83000000000004</v>
      </c>
      <c r="E16" s="814">
        <f>SUM(E17:E19)</f>
        <v>56.980000000000004</v>
      </c>
      <c r="F16" s="814">
        <f t="shared" si="3"/>
        <v>453.69000000000005</v>
      </c>
      <c r="G16" s="60">
        <f>SUM(G17:G19)</f>
        <v>4359725.5</v>
      </c>
      <c r="H16" s="60">
        <f>SUM(H17:H19)</f>
        <v>4315369.75</v>
      </c>
      <c r="I16" s="60">
        <f>SUM(I17:I19)</f>
        <v>1035296.18</v>
      </c>
      <c r="J16" s="151">
        <f t="shared" si="4"/>
        <v>5395021.6799999997</v>
      </c>
      <c r="K16" s="464">
        <f t="shared" si="2"/>
        <v>990.95228019131991</v>
      </c>
    </row>
    <row r="17" spans="1:13" x14ac:dyDescent="0.2">
      <c r="A17" s="30">
        <v>10</v>
      </c>
      <c r="B17" s="26" t="s">
        <v>262</v>
      </c>
      <c r="C17" s="815">
        <v>71.44</v>
      </c>
      <c r="D17" s="815">
        <v>71.44</v>
      </c>
      <c r="E17" s="815">
        <v>19.52</v>
      </c>
      <c r="F17" s="814">
        <f t="shared" si="3"/>
        <v>90.96</v>
      </c>
      <c r="G17" s="816">
        <v>1085183.72</v>
      </c>
      <c r="H17" s="816">
        <v>1085183.72</v>
      </c>
      <c r="I17" s="816">
        <v>455676.32</v>
      </c>
      <c r="J17" s="151">
        <f t="shared" si="4"/>
        <v>1540860.04</v>
      </c>
      <c r="K17" s="464">
        <f t="shared" si="2"/>
        <v>1411.6645045441221</v>
      </c>
    </row>
    <row r="18" spans="1:13" x14ac:dyDescent="0.2">
      <c r="A18" s="30">
        <v>11</v>
      </c>
      <c r="B18" s="26" t="s">
        <v>209</v>
      </c>
      <c r="C18" s="815">
        <v>143.77000000000001</v>
      </c>
      <c r="D18" s="815">
        <v>143.28</v>
      </c>
      <c r="E18" s="815">
        <v>3.97</v>
      </c>
      <c r="F18" s="814">
        <f t="shared" si="3"/>
        <v>147.74</v>
      </c>
      <c r="G18" s="816">
        <v>1547914</v>
      </c>
      <c r="H18" s="816">
        <v>1532568.84</v>
      </c>
      <c r="I18" s="816">
        <v>118243.6</v>
      </c>
      <c r="J18" s="151">
        <f t="shared" si="4"/>
        <v>1666157.6</v>
      </c>
      <c r="K18" s="464">
        <f t="shared" si="2"/>
        <v>939.80280673254811</v>
      </c>
    </row>
    <row r="19" spans="1:13" x14ac:dyDescent="0.2">
      <c r="A19" s="30">
        <v>12</v>
      </c>
      <c r="B19" s="26" t="s">
        <v>186</v>
      </c>
      <c r="C19" s="815">
        <v>181.5</v>
      </c>
      <c r="D19" s="815">
        <v>181.11</v>
      </c>
      <c r="E19" s="815">
        <v>33.49</v>
      </c>
      <c r="F19" s="814">
        <f t="shared" si="3"/>
        <v>214.99</v>
      </c>
      <c r="G19" s="816">
        <v>1726627.78</v>
      </c>
      <c r="H19" s="816">
        <v>1697617.19</v>
      </c>
      <c r="I19" s="816">
        <v>461376.26</v>
      </c>
      <c r="J19" s="151">
        <f t="shared" si="4"/>
        <v>2188004.04</v>
      </c>
      <c r="K19" s="464">
        <f t="shared" si="2"/>
        <v>848.10302804781622</v>
      </c>
    </row>
    <row r="20" spans="1:13" x14ac:dyDescent="0.2">
      <c r="A20" s="30">
        <v>13</v>
      </c>
      <c r="B20" s="45" t="s">
        <v>308</v>
      </c>
      <c r="C20" s="815">
        <v>325.8</v>
      </c>
      <c r="D20" s="815">
        <v>292.89999999999998</v>
      </c>
      <c r="E20" s="815">
        <v>38.880000000000003</v>
      </c>
      <c r="F20" s="814">
        <f t="shared" si="3"/>
        <v>364.68</v>
      </c>
      <c r="G20" s="816">
        <v>4005261.56</v>
      </c>
      <c r="H20" s="816">
        <v>3451472.08</v>
      </c>
      <c r="I20" s="816">
        <v>803605.55</v>
      </c>
      <c r="J20" s="151">
        <f t="shared" si="4"/>
        <v>4808867.1100000003</v>
      </c>
      <c r="K20" s="464">
        <f t="shared" si="2"/>
        <v>1098.8782654199115</v>
      </c>
    </row>
    <row r="21" spans="1:13" ht="31.5" x14ac:dyDescent="0.2">
      <c r="A21" s="30">
        <v>14</v>
      </c>
      <c r="B21" s="45" t="s">
        <v>73</v>
      </c>
      <c r="C21" s="815">
        <v>294.25</v>
      </c>
      <c r="D21" s="815">
        <v>294.25</v>
      </c>
      <c r="E21" s="815">
        <v>11.67</v>
      </c>
      <c r="F21" s="814">
        <f t="shared" si="3"/>
        <v>305.92</v>
      </c>
      <c r="G21" s="816">
        <v>1915093.84</v>
      </c>
      <c r="H21" s="816">
        <v>1913808.89</v>
      </c>
      <c r="I21" s="816">
        <v>157322.23999999999</v>
      </c>
      <c r="J21" s="151">
        <f t="shared" si="4"/>
        <v>2072416.08</v>
      </c>
      <c r="K21" s="464">
        <f t="shared" si="2"/>
        <v>564.53105387029291</v>
      </c>
    </row>
    <row r="22" spans="1:13" ht="47.25" x14ac:dyDescent="0.2">
      <c r="A22" s="30">
        <v>15</v>
      </c>
      <c r="B22" s="45" t="s">
        <v>351</v>
      </c>
      <c r="C22" s="814">
        <f>SUM(C23:C26)</f>
        <v>1</v>
      </c>
      <c r="D22" s="814">
        <f>SUM(D23:D26)</f>
        <v>1</v>
      </c>
      <c r="E22" s="814">
        <f>SUM(E23:E26)</f>
        <v>0</v>
      </c>
      <c r="F22" s="814">
        <f t="shared" si="3"/>
        <v>1</v>
      </c>
      <c r="G22" s="60">
        <f>SUM(G23:G26)</f>
        <v>6273</v>
      </c>
      <c r="H22" s="60">
        <f>SUM(H23:H26)</f>
        <v>6273</v>
      </c>
      <c r="I22" s="60">
        <f>SUM(I23:I26)</f>
        <v>0</v>
      </c>
      <c r="J22" s="151">
        <f t="shared" si="4"/>
        <v>6273</v>
      </c>
      <c r="K22" s="464">
        <f t="shared" si="2"/>
        <v>522.75</v>
      </c>
    </row>
    <row r="23" spans="1:13" x14ac:dyDescent="0.2">
      <c r="A23" s="30" t="s">
        <v>309</v>
      </c>
      <c r="B23" s="46"/>
      <c r="C23" s="820">
        <v>1</v>
      </c>
      <c r="D23" s="820">
        <v>1</v>
      </c>
      <c r="E23" s="820"/>
      <c r="F23" s="814">
        <f t="shared" si="3"/>
        <v>1</v>
      </c>
      <c r="G23" s="149">
        <v>6273</v>
      </c>
      <c r="H23" s="149">
        <v>6273</v>
      </c>
      <c r="I23" s="149"/>
      <c r="J23" s="151">
        <f>G23+I23</f>
        <v>6273</v>
      </c>
      <c r="K23" s="464">
        <f t="shared" si="2"/>
        <v>522.75</v>
      </c>
    </row>
    <row r="24" spans="1:13" x14ac:dyDescent="0.2">
      <c r="A24" s="30" t="s">
        <v>423</v>
      </c>
      <c r="B24" s="46"/>
      <c r="C24" s="149"/>
      <c r="D24" s="149"/>
      <c r="E24" s="149"/>
      <c r="F24" s="814">
        <f t="shared" si="3"/>
        <v>0</v>
      </c>
      <c r="G24" s="149"/>
      <c r="H24" s="149"/>
      <c r="I24" s="149"/>
      <c r="J24" s="151">
        <f>G24+I24</f>
        <v>0</v>
      </c>
      <c r="K24" s="464">
        <f t="shared" si="2"/>
        <v>0</v>
      </c>
    </row>
    <row r="25" spans="1:13" x14ac:dyDescent="0.2">
      <c r="A25" s="30" t="s">
        <v>424</v>
      </c>
      <c r="B25" s="46"/>
      <c r="C25" s="149"/>
      <c r="D25" s="149"/>
      <c r="E25" s="149"/>
      <c r="F25" s="814">
        <f t="shared" si="3"/>
        <v>0</v>
      </c>
      <c r="G25" s="149"/>
      <c r="H25" s="149"/>
      <c r="I25" s="149"/>
      <c r="J25" s="151">
        <f>G25+I25</f>
        <v>0</v>
      </c>
      <c r="K25" s="464">
        <f t="shared" si="2"/>
        <v>0</v>
      </c>
    </row>
    <row r="26" spans="1:13" ht="16.5" customHeight="1" x14ac:dyDescent="0.2">
      <c r="A26" s="30" t="s">
        <v>425</v>
      </c>
      <c r="B26" s="46"/>
      <c r="C26" s="149"/>
      <c r="D26" s="149"/>
      <c r="E26" s="149"/>
      <c r="F26" s="814">
        <f t="shared" si="3"/>
        <v>0</v>
      </c>
      <c r="G26" s="149"/>
      <c r="H26" s="149"/>
      <c r="I26" s="149"/>
      <c r="J26" s="151">
        <f>G26+I26</f>
        <v>0</v>
      </c>
      <c r="K26" s="464">
        <f t="shared" si="2"/>
        <v>0</v>
      </c>
    </row>
    <row r="27" spans="1:13" x14ac:dyDescent="0.2">
      <c r="A27" s="30"/>
      <c r="B27" s="26"/>
      <c r="C27" s="150"/>
      <c r="D27" s="150"/>
      <c r="E27" s="150"/>
      <c r="F27" s="818">
        <f t="shared" si="3"/>
        <v>0</v>
      </c>
      <c r="G27" s="150"/>
      <c r="H27" s="150"/>
      <c r="I27" s="150"/>
      <c r="J27" s="463"/>
      <c r="K27" s="464"/>
    </row>
    <row r="28" spans="1:13" x14ac:dyDescent="0.2">
      <c r="A28" s="30">
        <v>16</v>
      </c>
      <c r="B28" s="45" t="s">
        <v>74</v>
      </c>
      <c r="C28" s="815">
        <v>185.44</v>
      </c>
      <c r="D28" s="815">
        <v>185.44</v>
      </c>
      <c r="E28" s="815"/>
      <c r="F28" s="814">
        <f t="shared" si="3"/>
        <v>185.44</v>
      </c>
      <c r="G28" s="816">
        <v>1386738.88</v>
      </c>
      <c r="H28" s="816">
        <v>1386738.88</v>
      </c>
      <c r="I28" s="816">
        <v>151404.45000000001</v>
      </c>
      <c r="J28" s="151">
        <f>G28+I28</f>
        <v>1538143.3299999998</v>
      </c>
      <c r="K28" s="464">
        <f t="shared" si="2"/>
        <v>691.21338887690536</v>
      </c>
    </row>
    <row r="29" spans="1:13" x14ac:dyDescent="0.2">
      <c r="A29" s="30">
        <v>17</v>
      </c>
      <c r="B29" s="45" t="s">
        <v>75</v>
      </c>
      <c r="C29" s="815"/>
      <c r="D29" s="815"/>
      <c r="E29" s="815">
        <v>52.47</v>
      </c>
      <c r="F29" s="814">
        <f t="shared" si="3"/>
        <v>52.47</v>
      </c>
      <c r="G29" s="816"/>
      <c r="H29" s="816"/>
      <c r="I29" s="816">
        <v>450838.5</v>
      </c>
      <c r="J29" s="151">
        <f>G29+I29</f>
        <v>450838.5</v>
      </c>
      <c r="K29" s="464">
        <f t="shared" si="2"/>
        <v>716.02582428054131</v>
      </c>
    </row>
    <row r="30" spans="1:13" ht="16.5" thickBot="1" x14ac:dyDescent="0.25">
      <c r="A30" s="31">
        <v>18</v>
      </c>
      <c r="B30" s="47" t="s">
        <v>352</v>
      </c>
      <c r="C30" s="821">
        <f t="shared" ref="C30:J30" si="5">C7+C13+C16+C20+C21+C28+C29</f>
        <v>2480.98</v>
      </c>
      <c r="D30" s="821">
        <f t="shared" si="5"/>
        <v>2429.1200000000003</v>
      </c>
      <c r="E30" s="821">
        <f t="shared" si="5"/>
        <v>176.37</v>
      </c>
      <c r="F30" s="821">
        <f t="shared" si="5"/>
        <v>2657.35</v>
      </c>
      <c r="G30" s="61">
        <f t="shared" si="5"/>
        <v>30656306.68</v>
      </c>
      <c r="H30" s="61">
        <f t="shared" si="5"/>
        <v>29402467.069999997</v>
      </c>
      <c r="I30" s="61">
        <f t="shared" si="5"/>
        <v>4329887.82</v>
      </c>
      <c r="J30" s="152">
        <f t="shared" si="5"/>
        <v>34986194.5</v>
      </c>
      <c r="K30" s="465">
        <f t="shared" si="2"/>
        <v>1097.1517520587552</v>
      </c>
      <c r="M30" s="778"/>
    </row>
    <row r="31" spans="1:13" x14ac:dyDescent="0.2">
      <c r="A31" s="18"/>
      <c r="B31" s="18"/>
      <c r="C31" s="21"/>
      <c r="D31" s="18"/>
      <c r="E31" s="18"/>
      <c r="F31" s="21"/>
      <c r="G31" s="21"/>
      <c r="H31" s="21"/>
      <c r="I31" s="21"/>
      <c r="J31" s="21"/>
    </row>
    <row r="32" spans="1:13" x14ac:dyDescent="0.25">
      <c r="A32" s="986" t="s">
        <v>10</v>
      </c>
      <c r="B32" s="987"/>
      <c r="C32" s="987"/>
      <c r="D32" s="987"/>
      <c r="E32" s="987"/>
      <c r="F32" s="987"/>
      <c r="G32" s="987"/>
      <c r="H32" s="987"/>
      <c r="I32" s="987"/>
      <c r="J32" s="988"/>
    </row>
    <row r="33" spans="1:13" x14ac:dyDescent="0.25">
      <c r="A33" s="1000" t="s">
        <v>1126</v>
      </c>
      <c r="B33" s="1001"/>
      <c r="C33" s="1001"/>
      <c r="D33" s="1001"/>
      <c r="E33" s="1001"/>
      <c r="F33" s="1001"/>
      <c r="G33" s="1001"/>
      <c r="H33" s="1001"/>
      <c r="I33" s="1001"/>
      <c r="J33" s="1002"/>
    </row>
    <row r="34" spans="1:13" ht="50.25" customHeight="1" x14ac:dyDescent="0.2">
      <c r="B34" s="999" t="s">
        <v>922</v>
      </c>
      <c r="C34" s="999"/>
      <c r="D34" s="999"/>
      <c r="E34" s="999"/>
      <c r="F34" s="999"/>
      <c r="G34" s="999"/>
      <c r="H34" s="999"/>
      <c r="I34" s="999"/>
      <c r="J34" s="999"/>
      <c r="K34" s="845"/>
    </row>
    <row r="35" spans="1:13" x14ac:dyDescent="0.2">
      <c r="B35" s="327" t="s">
        <v>895</v>
      </c>
    </row>
    <row r="36" spans="1:13" x14ac:dyDescent="0.2">
      <c r="B36" s="327" t="s">
        <v>896</v>
      </c>
    </row>
    <row r="37" spans="1:13" x14ac:dyDescent="0.2">
      <c r="B37" s="327" t="s">
        <v>897</v>
      </c>
    </row>
    <row r="38" spans="1:13" x14ac:dyDescent="0.2">
      <c r="J38" s="822"/>
    </row>
    <row r="40" spans="1:13" x14ac:dyDescent="0.2">
      <c r="B40" s="837"/>
      <c r="J40" s="998"/>
      <c r="K40" s="998"/>
      <c r="L40" s="998"/>
      <c r="M40" s="998"/>
    </row>
    <row r="41" spans="1:13" x14ac:dyDescent="0.2">
      <c r="J41" s="998"/>
      <c r="K41" s="998"/>
      <c r="L41" s="998"/>
      <c r="M41" s="998"/>
    </row>
    <row r="42" spans="1:13" ht="15.6" customHeight="1" x14ac:dyDescent="0.2">
      <c r="J42" s="998"/>
      <c r="K42" s="998"/>
      <c r="L42" s="998"/>
      <c r="M42" s="998"/>
    </row>
    <row r="43" spans="1:13" x14ac:dyDescent="0.2">
      <c r="J43" s="998"/>
      <c r="K43" s="998"/>
      <c r="L43" s="998"/>
      <c r="M43" s="998"/>
    </row>
  </sheetData>
  <mergeCells count="17">
    <mergeCell ref="J40:M43"/>
    <mergeCell ref="B34:J34"/>
    <mergeCell ref="A33:J33"/>
    <mergeCell ref="A1:K1"/>
    <mergeCell ref="A2:K2"/>
    <mergeCell ref="J3:J5"/>
    <mergeCell ref="A32:J32"/>
    <mergeCell ref="C3:F3"/>
    <mergeCell ref="H3:H4"/>
    <mergeCell ref="K3:K5"/>
    <mergeCell ref="G3:G5"/>
    <mergeCell ref="I3:I5"/>
    <mergeCell ref="C4:C5"/>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6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70" zoomScaleNormal="70" workbookViewId="0">
      <pane xSplit="2" ySplit="6" topLeftCell="E7" activePane="bottomRight" state="frozen"/>
      <selection pane="topRight" activeCell="C1" sqref="C1"/>
      <selection pane="bottomLeft" activeCell="A7" sqref="A7"/>
      <selection pane="bottomRight" activeCell="L34" sqref="L34"/>
    </sheetView>
  </sheetViews>
  <sheetFormatPr defaultColWidth="9.140625" defaultRowHeight="15.75" x14ac:dyDescent="0.2"/>
  <cols>
    <col min="1" max="1" width="5.5703125" style="23" customWidth="1"/>
    <col min="2" max="2" width="65.42578125" style="48" customWidth="1"/>
    <col min="3" max="3" width="14.5703125" style="19" customWidth="1"/>
    <col min="4" max="4" width="14" style="19" customWidth="1"/>
    <col min="5" max="5" width="15.85546875" style="19" customWidth="1"/>
    <col min="6" max="6" width="15.5703125" style="19" customWidth="1"/>
    <col min="7" max="7" width="19.140625" style="19" customWidth="1"/>
    <col min="8" max="8" width="18.5703125" style="19" customWidth="1"/>
    <col min="9" max="9" width="16.42578125" style="19" customWidth="1"/>
    <col min="10" max="10" width="17.5703125" style="19" bestFit="1" customWidth="1"/>
    <col min="11" max="11" width="13.42578125" style="19" customWidth="1"/>
    <col min="12" max="12" width="13.140625" style="19" customWidth="1"/>
    <col min="13" max="16384" width="9.140625" style="19"/>
  </cols>
  <sheetData>
    <row r="1" spans="1:12" ht="35.1" customHeight="1" thickBot="1" x14ac:dyDescent="0.25">
      <c r="A1" s="982" t="s">
        <v>1453</v>
      </c>
      <c r="B1" s="983"/>
      <c r="C1" s="983"/>
      <c r="D1" s="983"/>
      <c r="E1" s="983"/>
      <c r="F1" s="983"/>
      <c r="G1" s="983"/>
      <c r="H1" s="983"/>
      <c r="I1" s="983"/>
      <c r="J1" s="983"/>
      <c r="K1" s="983"/>
    </row>
    <row r="2" spans="1:12" ht="35.450000000000003" customHeight="1" x14ac:dyDescent="0.2">
      <c r="A2" s="969" t="s">
        <v>427</v>
      </c>
      <c r="B2" s="970"/>
      <c r="C2" s="970"/>
      <c r="D2" s="970"/>
      <c r="E2" s="970"/>
      <c r="F2" s="970"/>
      <c r="G2" s="970"/>
      <c r="H2" s="970"/>
      <c r="I2" s="970"/>
      <c r="J2" s="970"/>
      <c r="K2" s="970"/>
      <c r="L2" s="629" t="s">
        <v>1445</v>
      </c>
    </row>
    <row r="3" spans="1:12" ht="42.75" customHeight="1" x14ac:dyDescent="0.2">
      <c r="A3" s="996" t="s">
        <v>228</v>
      </c>
      <c r="B3" s="940" t="s">
        <v>1127</v>
      </c>
      <c r="C3" s="989" t="s">
        <v>1448</v>
      </c>
      <c r="D3" s="989"/>
      <c r="E3" s="989"/>
      <c r="F3" s="989"/>
      <c r="G3" s="989" t="s">
        <v>917</v>
      </c>
      <c r="H3" s="990" t="s">
        <v>331</v>
      </c>
      <c r="I3" s="989" t="s">
        <v>919</v>
      </c>
      <c r="J3" s="984" t="s">
        <v>920</v>
      </c>
      <c r="K3" s="1005" t="s">
        <v>1447</v>
      </c>
      <c r="L3" s="1003" t="s">
        <v>1446</v>
      </c>
    </row>
    <row r="4" spans="1:12" ht="34.5" customHeight="1" x14ac:dyDescent="0.2">
      <c r="A4" s="997"/>
      <c r="B4" s="995"/>
      <c r="C4" s="994" t="s">
        <v>1449</v>
      </c>
      <c r="D4" s="14" t="s">
        <v>331</v>
      </c>
      <c r="E4" s="994" t="s">
        <v>1451</v>
      </c>
      <c r="F4" s="994" t="s">
        <v>1452</v>
      </c>
      <c r="G4" s="994"/>
      <c r="H4" s="991"/>
      <c r="I4" s="994"/>
      <c r="J4" s="985"/>
      <c r="K4" s="1005"/>
      <c r="L4" s="1003"/>
    </row>
    <row r="5" spans="1:12" s="74" customFormat="1" ht="63" x14ac:dyDescent="0.2">
      <c r="A5" s="997"/>
      <c r="B5" s="995"/>
      <c r="C5" s="994"/>
      <c r="D5" s="93" t="s">
        <v>1450</v>
      </c>
      <c r="E5" s="994"/>
      <c r="F5" s="994"/>
      <c r="G5" s="994"/>
      <c r="H5" s="14" t="s">
        <v>918</v>
      </c>
      <c r="I5" s="994"/>
      <c r="J5" s="985"/>
      <c r="K5" s="1006"/>
      <c r="L5" s="1004"/>
    </row>
    <row r="6" spans="1:12" s="75" customFormat="1" ht="18" customHeight="1" x14ac:dyDescent="0.2">
      <c r="A6" s="136"/>
      <c r="B6" s="63"/>
      <c r="C6" s="16" t="s">
        <v>314</v>
      </c>
      <c r="D6" s="16" t="s">
        <v>315</v>
      </c>
      <c r="E6" s="16" t="s">
        <v>316</v>
      </c>
      <c r="F6" s="16" t="s">
        <v>207</v>
      </c>
      <c r="G6" s="16" t="s">
        <v>317</v>
      </c>
      <c r="H6" s="16" t="s">
        <v>318</v>
      </c>
      <c r="I6" s="16" t="s">
        <v>319</v>
      </c>
      <c r="J6" s="461" t="s">
        <v>208</v>
      </c>
      <c r="K6" s="634" t="s">
        <v>1124</v>
      </c>
      <c r="L6" s="633" t="s">
        <v>882</v>
      </c>
    </row>
    <row r="7" spans="1:12" s="22" customFormat="1" x14ac:dyDescent="0.2">
      <c r="A7" s="30">
        <v>1</v>
      </c>
      <c r="B7" s="45" t="s">
        <v>310</v>
      </c>
      <c r="C7" s="814">
        <f>SUM(C8:C12)</f>
        <v>357.32</v>
      </c>
      <c r="D7" s="814">
        <f>SUM(D8:D12)</f>
        <v>351.31</v>
      </c>
      <c r="E7" s="814">
        <f>SUM(E8:E12)</f>
        <v>1.24</v>
      </c>
      <c r="F7" s="814">
        <f t="shared" ref="F7:F13" si="0">C7+E7</f>
        <v>358.56</v>
      </c>
      <c r="G7" s="60">
        <f>SUM(G8:G12)</f>
        <v>5258064.54</v>
      </c>
      <c r="H7" s="60">
        <f>SUM(H8:H12)</f>
        <v>5083338.79</v>
      </c>
      <c r="I7" s="60">
        <f>SUM(I8:I12)</f>
        <v>155345.51999999999</v>
      </c>
      <c r="J7" s="151">
        <f t="shared" ref="J7:J13" si="1">G7+I7</f>
        <v>5413410.0599999996</v>
      </c>
      <c r="K7" s="631">
        <f>IF(F7=0,0,J7/F7/12)</f>
        <v>1258.1367274654172</v>
      </c>
      <c r="L7" s="464">
        <f>IF('[2]T6-Zamestnanci_a_mzdy'!F7-'[2]T6a-Zamestnanci_a_mzdy (ženy)'!F7=0,0,('[2]T6-Zamestnanci_a_mzdy'!J7-'[2]T6a-Zamestnanci_a_mzdy (ženy)'!J7)/('[2]T6-Zamestnanci_a_mzdy'!F7-'[2]T6a-Zamestnanci_a_mzdy (ženy)'!F7)/12)</f>
        <v>1495.2027799636662</v>
      </c>
    </row>
    <row r="8" spans="1:12" x14ac:dyDescent="0.2">
      <c r="A8" s="30">
        <v>2</v>
      </c>
      <c r="B8" s="26" t="s">
        <v>1125</v>
      </c>
      <c r="C8" s="815">
        <v>13.55</v>
      </c>
      <c r="D8" s="815">
        <v>12.8</v>
      </c>
      <c r="E8" s="815"/>
      <c r="F8" s="814">
        <f t="shared" si="0"/>
        <v>13.55</v>
      </c>
      <c r="G8" s="816">
        <v>340510.87</v>
      </c>
      <c r="H8" s="816">
        <v>311062.96000000002</v>
      </c>
      <c r="I8" s="816">
        <v>11667.18</v>
      </c>
      <c r="J8" s="151">
        <f t="shared" si="1"/>
        <v>352178.05</v>
      </c>
      <c r="K8" s="631">
        <f t="shared" ref="K8:K30" si="2">IF(F8=0,0,J8/F8/12)</f>
        <v>2165.9166666666665</v>
      </c>
      <c r="L8" s="464">
        <f>IF('[2]T6-Zamestnanci_a_mzdy'!F8-'[2]T6a-Zamestnanci_a_mzdy (ženy)'!F8=0,0,('[2]T6-Zamestnanci_a_mzdy'!J8-'[2]T6a-Zamestnanci_a_mzdy (ženy)'!J8)/('[2]T6-Zamestnanci_a_mzdy'!F8-'[2]T6a-Zamestnanci_a_mzdy (ženy)'!F8)/12)</f>
        <v>2112.8762493560021</v>
      </c>
    </row>
    <row r="9" spans="1:12" x14ac:dyDescent="0.2">
      <c r="A9" s="30">
        <v>3</v>
      </c>
      <c r="B9" s="26" t="s">
        <v>258</v>
      </c>
      <c r="C9" s="815">
        <v>115.71</v>
      </c>
      <c r="D9" s="815">
        <v>113.37</v>
      </c>
      <c r="E9" s="815">
        <v>0.17</v>
      </c>
      <c r="F9" s="814">
        <f t="shared" si="0"/>
        <v>115.88</v>
      </c>
      <c r="G9" s="816">
        <v>1989230.96</v>
      </c>
      <c r="H9" s="816">
        <v>1896226.8</v>
      </c>
      <c r="I9" s="816">
        <v>81237.350000000006</v>
      </c>
      <c r="J9" s="151">
        <f t="shared" si="1"/>
        <v>2070468.31</v>
      </c>
      <c r="K9" s="631">
        <f t="shared" si="2"/>
        <v>1488.945683753308</v>
      </c>
      <c r="L9" s="464">
        <f>IF('[2]T6-Zamestnanci_a_mzdy'!F9-'[2]T6a-Zamestnanci_a_mzdy (ženy)'!F9=0,0,('[2]T6-Zamestnanci_a_mzdy'!J9-'[2]T6a-Zamestnanci_a_mzdy (ženy)'!J9)/('[2]T6-Zamestnanci_a_mzdy'!F9-'[2]T6a-Zamestnanci_a_mzdy (ženy)'!F9)/12)</f>
        <v>1561.5669184098094</v>
      </c>
    </row>
    <row r="10" spans="1:12" x14ac:dyDescent="0.2">
      <c r="A10" s="30">
        <v>4</v>
      </c>
      <c r="B10" s="26" t="s">
        <v>259</v>
      </c>
      <c r="C10" s="815">
        <v>219.74</v>
      </c>
      <c r="D10" s="815">
        <v>216.82</v>
      </c>
      <c r="E10" s="815">
        <v>1.04</v>
      </c>
      <c r="F10" s="814">
        <f t="shared" si="0"/>
        <v>220.78</v>
      </c>
      <c r="G10" s="816">
        <v>2830425.75</v>
      </c>
      <c r="H10" s="816">
        <v>2778152.07</v>
      </c>
      <c r="I10" s="816">
        <v>60797.47</v>
      </c>
      <c r="J10" s="151">
        <f t="shared" si="1"/>
        <v>2891223.22</v>
      </c>
      <c r="K10" s="631">
        <f t="shared" si="2"/>
        <v>1091.2911873056134</v>
      </c>
      <c r="L10" s="464">
        <f>IF('[2]T6-Zamestnanci_a_mzdy'!F10-'[2]T6a-Zamestnanci_a_mzdy (ženy)'!F10=0,0,('[2]T6-Zamestnanci_a_mzdy'!J10-'[2]T6a-Zamestnanci_a_mzdy (ženy)'!J10)/('[2]T6-Zamestnanci_a_mzdy'!F10-'[2]T6a-Zamestnanci_a_mzdy (ženy)'!F10)/12)</f>
        <v>1141.8207137213585</v>
      </c>
    </row>
    <row r="11" spans="1:12" x14ac:dyDescent="0.2">
      <c r="A11" s="30">
        <v>5</v>
      </c>
      <c r="B11" s="26" t="s">
        <v>260</v>
      </c>
      <c r="C11" s="815">
        <v>1.64</v>
      </c>
      <c r="D11" s="815">
        <v>1.64</v>
      </c>
      <c r="E11" s="815">
        <v>0.03</v>
      </c>
      <c r="F11" s="814">
        <f t="shared" si="0"/>
        <v>1.67</v>
      </c>
      <c r="G11" s="816">
        <v>19872.740000000002</v>
      </c>
      <c r="H11" s="816">
        <v>19872.740000000002</v>
      </c>
      <c r="I11" s="816">
        <v>1643.52</v>
      </c>
      <c r="J11" s="151">
        <f t="shared" si="1"/>
        <v>21516.260000000002</v>
      </c>
      <c r="K11" s="631">
        <f t="shared" si="2"/>
        <v>1073.6656686626748</v>
      </c>
      <c r="L11" s="464">
        <f>IF('[2]T6-Zamestnanci_a_mzdy'!F11-'[2]T6a-Zamestnanci_a_mzdy (ženy)'!F11=0,0,('[2]T6-Zamestnanci_a_mzdy'!J11-'[2]T6a-Zamestnanci_a_mzdy (ženy)'!J11)/('[2]T6-Zamestnanci_a_mzdy'!F11-'[2]T6a-Zamestnanci_a_mzdy (ženy)'!F11)/12)</f>
        <v>878.38828828828809</v>
      </c>
    </row>
    <row r="12" spans="1:12" x14ac:dyDescent="0.2">
      <c r="A12" s="30">
        <v>6</v>
      </c>
      <c r="B12" s="26" t="s">
        <v>261</v>
      </c>
      <c r="C12" s="815">
        <v>6.68</v>
      </c>
      <c r="D12" s="815">
        <v>6.68</v>
      </c>
      <c r="E12" s="815"/>
      <c r="F12" s="814">
        <f t="shared" si="0"/>
        <v>6.68</v>
      </c>
      <c r="G12" s="816">
        <v>78024.22</v>
      </c>
      <c r="H12" s="816">
        <v>78024.22</v>
      </c>
      <c r="I12" s="816"/>
      <c r="J12" s="151">
        <f t="shared" si="1"/>
        <v>78024.22</v>
      </c>
      <c r="K12" s="631">
        <f t="shared" si="2"/>
        <v>973.35603792415168</v>
      </c>
      <c r="L12" s="464">
        <f>IF('[2]T6-Zamestnanci_a_mzdy'!F12-'[2]T6a-Zamestnanci_a_mzdy (ženy)'!F12=0,0,('[2]T6-Zamestnanci_a_mzdy'!J12-'[2]T6a-Zamestnanci_a_mzdy (ženy)'!J12)/('[2]T6-Zamestnanci_a_mzdy'!F12-'[2]T6a-Zamestnanci_a_mzdy (ženy)'!F12)/12)</f>
        <v>914.88736609955856</v>
      </c>
    </row>
    <row r="13" spans="1:12" x14ac:dyDescent="0.2">
      <c r="A13" s="30">
        <v>7</v>
      </c>
      <c r="B13" s="45" t="s">
        <v>72</v>
      </c>
      <c r="C13" s="815">
        <v>116.09</v>
      </c>
      <c r="D13" s="815">
        <v>114.64</v>
      </c>
      <c r="E13" s="815">
        <v>8.6300000000000008</v>
      </c>
      <c r="F13" s="814">
        <f t="shared" si="0"/>
        <v>124.72</v>
      </c>
      <c r="G13" s="816">
        <v>1013013.36</v>
      </c>
      <c r="H13" s="816">
        <v>985442.85</v>
      </c>
      <c r="I13" s="816">
        <v>286195.09000000003</v>
      </c>
      <c r="J13" s="151">
        <f t="shared" si="1"/>
        <v>1299208.45</v>
      </c>
      <c r="K13" s="631">
        <f t="shared" si="2"/>
        <v>868.08347364763733</v>
      </c>
      <c r="L13" s="464">
        <f>IF('[2]T6-Zamestnanci_a_mzdy'!F13-'[2]T6a-Zamestnanci_a_mzdy (ženy)'!F13=0,0,('[2]T6-Zamestnanci_a_mzdy'!J13-'[2]T6a-Zamestnanci_a_mzdy (ženy)'!J13)/('[2]T6-Zamestnanci_a_mzdy'!F13-'[2]T6a-Zamestnanci_a_mzdy (ženy)'!F13)/12)</f>
        <v>1124.7066388115136</v>
      </c>
    </row>
    <row r="14" spans="1:12" x14ac:dyDescent="0.2">
      <c r="A14" s="30"/>
      <c r="B14" s="26" t="s">
        <v>331</v>
      </c>
      <c r="C14" s="817"/>
      <c r="D14" s="817"/>
      <c r="E14" s="817"/>
      <c r="F14" s="818"/>
      <c r="G14" s="819"/>
      <c r="H14" s="819"/>
      <c r="I14" s="819"/>
      <c r="J14" s="463"/>
      <c r="K14" s="463"/>
      <c r="L14" s="630"/>
    </row>
    <row r="15" spans="1:12" x14ac:dyDescent="0.2">
      <c r="A15" s="30">
        <v>8</v>
      </c>
      <c r="B15" s="26" t="s">
        <v>76</v>
      </c>
      <c r="C15" s="815">
        <v>36.159999999999997</v>
      </c>
      <c r="D15" s="815">
        <v>35.82</v>
      </c>
      <c r="E15" s="815">
        <v>1.07</v>
      </c>
      <c r="F15" s="814">
        <f t="shared" ref="F15:F21" si="3">C15+E15</f>
        <v>37.229999999999997</v>
      </c>
      <c r="G15" s="816">
        <v>305743.87</v>
      </c>
      <c r="H15" s="816">
        <v>301370.39</v>
      </c>
      <c r="I15" s="816">
        <v>208331.96</v>
      </c>
      <c r="J15" s="151">
        <f t="shared" ref="J15:J21" si="4">G15+I15</f>
        <v>514075.82999999996</v>
      </c>
      <c r="K15" s="631">
        <f t="shared" si="2"/>
        <v>1150.6755976363149</v>
      </c>
      <c r="L15" s="464">
        <f>IF('[2]T6-Zamestnanci_a_mzdy'!F15-'[2]T6a-Zamestnanci_a_mzdy (ženy)'!F15=0,0,('[2]T6-Zamestnanci_a_mzdy'!J15-'[2]T6a-Zamestnanci_a_mzdy (ženy)'!J15)/('[2]T6-Zamestnanci_a_mzdy'!F15-'[2]T6a-Zamestnanci_a_mzdy (ženy)'!F15)/12)</f>
        <v>1292.7014205408689</v>
      </c>
    </row>
    <row r="16" spans="1:12" x14ac:dyDescent="0.2">
      <c r="A16" s="30">
        <v>9</v>
      </c>
      <c r="B16" s="45" t="s">
        <v>311</v>
      </c>
      <c r="C16" s="814">
        <f>SUM(C17:C19)</f>
        <v>335.84000000000003</v>
      </c>
      <c r="D16" s="814">
        <f>SUM(D17:D19)</f>
        <v>335.1</v>
      </c>
      <c r="E16" s="814">
        <f>SUM(E17:E19)</f>
        <v>45.5</v>
      </c>
      <c r="F16" s="814">
        <f t="shared" si="3"/>
        <v>381.34000000000003</v>
      </c>
      <c r="G16" s="60">
        <f>SUM(G17:G19)</f>
        <v>3502598.36</v>
      </c>
      <c r="H16" s="60">
        <f>SUM(H17:H19)</f>
        <v>3463291.21</v>
      </c>
      <c r="I16" s="60">
        <f>SUM(I17:I19)</f>
        <v>741891.63</v>
      </c>
      <c r="J16" s="151">
        <f t="shared" si="4"/>
        <v>4244489.99</v>
      </c>
      <c r="K16" s="631">
        <f t="shared" si="2"/>
        <v>927.53841497526264</v>
      </c>
      <c r="L16" s="464">
        <f>IF('[2]T6-Zamestnanci_a_mzdy'!F16-'[2]T6a-Zamestnanci_a_mzdy (ženy)'!F16=0,0,('[2]T6-Zamestnanci_a_mzdy'!J16-'[2]T6a-Zamestnanci_a_mzdy (ženy)'!J16)/('[2]T6-Zamestnanci_a_mzdy'!F16-'[2]T6a-Zamestnanci_a_mzdy (ženy)'!F16)/12)</f>
        <v>1325.1919949320422</v>
      </c>
    </row>
    <row r="17" spans="1:12" x14ac:dyDescent="0.2">
      <c r="A17" s="30">
        <v>10</v>
      </c>
      <c r="B17" s="26" t="s">
        <v>262</v>
      </c>
      <c r="C17" s="815">
        <v>56.12</v>
      </c>
      <c r="D17" s="815">
        <v>56.12</v>
      </c>
      <c r="E17" s="815">
        <v>13.6</v>
      </c>
      <c r="F17" s="814">
        <f t="shared" si="3"/>
        <v>69.72</v>
      </c>
      <c r="G17" s="816">
        <v>721450.65</v>
      </c>
      <c r="H17" s="816">
        <v>721450.65</v>
      </c>
      <c r="I17" s="816">
        <v>272813.52</v>
      </c>
      <c r="J17" s="151">
        <f t="shared" si="4"/>
        <v>994264.17</v>
      </c>
      <c r="K17" s="631">
        <f t="shared" si="2"/>
        <v>1188.40142713712</v>
      </c>
      <c r="L17" s="464">
        <f>IF('[2]T6-Zamestnanci_a_mzdy'!F17-'[2]T6a-Zamestnanci_a_mzdy (ženy)'!F17=0,0,('[2]T6-Zamestnanci_a_mzdy'!J17-'[2]T6a-Zamestnanci_a_mzdy (ženy)'!J17)/('[2]T6-Zamestnanci_a_mzdy'!F17-'[2]T6a-Zamestnanci_a_mzdy (ženy)'!F17)/12)</f>
        <v>2144.5224026993101</v>
      </c>
    </row>
    <row r="18" spans="1:12" x14ac:dyDescent="0.2">
      <c r="A18" s="30">
        <v>11</v>
      </c>
      <c r="B18" s="26" t="s">
        <v>209</v>
      </c>
      <c r="C18" s="815">
        <v>138.38999999999999</v>
      </c>
      <c r="D18" s="815">
        <v>137.85</v>
      </c>
      <c r="E18" s="815">
        <v>3.97</v>
      </c>
      <c r="F18" s="814">
        <f t="shared" si="3"/>
        <v>142.35999999999999</v>
      </c>
      <c r="G18" s="816">
        <v>1472304.23</v>
      </c>
      <c r="H18" s="816">
        <v>1457005.07</v>
      </c>
      <c r="I18" s="816">
        <v>111473.60000000001</v>
      </c>
      <c r="J18" s="151">
        <f t="shared" si="4"/>
        <v>1583777.83</v>
      </c>
      <c r="K18" s="631">
        <f t="shared" si="2"/>
        <v>927.09669734007696</v>
      </c>
      <c r="L18" s="464">
        <f>IF('[2]T6-Zamestnanci_a_mzdy'!F18-'[2]T6a-Zamestnanci_a_mzdy (ženy)'!F18=0,0,('[2]T6-Zamestnanci_a_mzdy'!J18-'[2]T6a-Zamestnanci_a_mzdy (ženy)'!J18)/('[2]T6-Zamestnanci_a_mzdy'!F18-'[2]T6a-Zamestnanci_a_mzdy (ženy)'!F18)/12)</f>
        <v>1276.018742255261</v>
      </c>
    </row>
    <row r="19" spans="1:12" x14ac:dyDescent="0.2">
      <c r="A19" s="30">
        <v>12</v>
      </c>
      <c r="B19" s="26" t="s">
        <v>186</v>
      </c>
      <c r="C19" s="815">
        <v>141.33000000000001</v>
      </c>
      <c r="D19" s="815">
        <v>141.13</v>
      </c>
      <c r="E19" s="815">
        <v>27.93</v>
      </c>
      <c r="F19" s="814">
        <f t="shared" si="3"/>
        <v>169.26000000000002</v>
      </c>
      <c r="G19" s="816">
        <v>1308843.48</v>
      </c>
      <c r="H19" s="816">
        <v>1284835.49</v>
      </c>
      <c r="I19" s="816">
        <v>357604.51</v>
      </c>
      <c r="J19" s="151">
        <f t="shared" si="4"/>
        <v>1666447.99</v>
      </c>
      <c r="K19" s="631">
        <f t="shared" si="2"/>
        <v>820.45767359880256</v>
      </c>
      <c r="L19" s="464">
        <f>IF('[2]T6-Zamestnanci_a_mzdy'!F19-'[2]T6a-Zamestnanci_a_mzdy (ženy)'!F19=0,0,('[2]T6-Zamestnanci_a_mzdy'!J19-'[2]T6a-Zamestnanci_a_mzdy (ženy)'!J19)/('[2]T6-Zamestnanci_a_mzdy'!F19-'[2]T6a-Zamestnanci_a_mzdy (ženy)'!F19)/12)</f>
        <v>950.4265070340407</v>
      </c>
    </row>
    <row r="20" spans="1:12" x14ac:dyDescent="0.2">
      <c r="A20" s="30">
        <v>13</v>
      </c>
      <c r="B20" s="45" t="s">
        <v>308</v>
      </c>
      <c r="C20" s="815">
        <v>120.25</v>
      </c>
      <c r="D20" s="815">
        <v>116.18</v>
      </c>
      <c r="E20" s="815">
        <v>4.72</v>
      </c>
      <c r="F20" s="814">
        <f t="shared" si="3"/>
        <v>124.97</v>
      </c>
      <c r="G20" s="816">
        <v>1320590.02</v>
      </c>
      <c r="H20" s="816">
        <v>1248526.6299999999</v>
      </c>
      <c r="I20" s="816">
        <v>111246.1</v>
      </c>
      <c r="J20" s="151">
        <f t="shared" si="4"/>
        <v>1431836.12</v>
      </c>
      <c r="K20" s="631">
        <f t="shared" si="2"/>
        <v>954.78656210823931</v>
      </c>
      <c r="L20" s="464">
        <f>IF('[2]T6-Zamestnanci_a_mzdy'!F20-'[2]T6a-Zamestnanci_a_mzdy (ženy)'!F20=0,0,('[2]T6-Zamestnanci_a_mzdy'!J20-'[2]T6a-Zamestnanci_a_mzdy (ženy)'!J20)/('[2]T6-Zamestnanci_a_mzdy'!F20-'[2]T6a-Zamestnanci_a_mzdy (ženy)'!F20)/12)</f>
        <v>1173.998786728408</v>
      </c>
    </row>
    <row r="21" spans="1:12" ht="31.5" x14ac:dyDescent="0.2">
      <c r="A21" s="30">
        <v>14</v>
      </c>
      <c r="B21" s="45" t="s">
        <v>73</v>
      </c>
      <c r="C21" s="815">
        <v>147.72</v>
      </c>
      <c r="D21" s="815">
        <v>147.72</v>
      </c>
      <c r="E21" s="815">
        <v>3.06</v>
      </c>
      <c r="F21" s="814">
        <f t="shared" si="3"/>
        <v>150.78</v>
      </c>
      <c r="G21" s="816">
        <v>848533.19</v>
      </c>
      <c r="H21" s="816">
        <v>848151.19</v>
      </c>
      <c r="I21" s="816">
        <v>70697.210000000006</v>
      </c>
      <c r="J21" s="151">
        <f t="shared" si="4"/>
        <v>919230.39999999991</v>
      </c>
      <c r="K21" s="631">
        <f t="shared" si="2"/>
        <v>508.04173851527611</v>
      </c>
      <c r="L21" s="464">
        <f>IF('[2]T6-Zamestnanci_a_mzdy'!F21-'[2]T6a-Zamestnanci_a_mzdy (ženy)'!F21=0,0,('[2]T6-Zamestnanci_a_mzdy'!J21-'[2]T6a-Zamestnanci_a_mzdy (ženy)'!J21)/('[2]T6-Zamestnanci_a_mzdy'!F21-'[2]T6a-Zamestnanci_a_mzdy (ženy)'!F21)/12)</f>
        <v>619.4328133728676</v>
      </c>
    </row>
    <row r="22" spans="1:12" ht="47.25" x14ac:dyDescent="0.2">
      <c r="A22" s="30">
        <v>15</v>
      </c>
      <c r="B22" s="45" t="s">
        <v>351</v>
      </c>
      <c r="C22" s="814">
        <f>SUM(C23:C26)</f>
        <v>0</v>
      </c>
      <c r="D22" s="814">
        <f>SUM(D23:D26)</f>
        <v>0</v>
      </c>
      <c r="E22" s="814">
        <f>SUM(E23:E26)</f>
        <v>0</v>
      </c>
      <c r="F22" s="814">
        <f>SUM(F27:F27)</f>
        <v>0</v>
      </c>
      <c r="G22" s="60">
        <f>SUM(G23:G26)</f>
        <v>0</v>
      </c>
      <c r="H22" s="60">
        <f>SUM(H23:H26)</f>
        <v>0</v>
      </c>
      <c r="I22" s="60">
        <f>SUM(I23:I26)</f>
        <v>0</v>
      </c>
      <c r="J22" s="151">
        <f>SUM(J23:J26)</f>
        <v>0</v>
      </c>
      <c r="K22" s="631">
        <f t="shared" si="2"/>
        <v>0</v>
      </c>
      <c r="L22" s="464">
        <f>IF('[2]T6-Zamestnanci_a_mzdy'!F22-'[2]T6a-Zamestnanci_a_mzdy (ženy)'!F22=0,0,('[2]T6-Zamestnanci_a_mzdy'!J22-'[2]T6a-Zamestnanci_a_mzdy (ženy)'!J22)/('[2]T6-Zamestnanci_a_mzdy'!F22-'[2]T6a-Zamestnanci_a_mzdy (ženy)'!F22)/12)</f>
        <v>522.75</v>
      </c>
    </row>
    <row r="23" spans="1:12" x14ac:dyDescent="0.2">
      <c r="A23" s="30" t="s">
        <v>309</v>
      </c>
      <c r="B23" s="46"/>
      <c r="C23" s="815"/>
      <c r="D23" s="815"/>
      <c r="E23" s="815"/>
      <c r="F23" s="814">
        <f t="shared" ref="F23:F29" si="5">C23+E23</f>
        <v>0</v>
      </c>
      <c r="G23" s="816"/>
      <c r="H23" s="816"/>
      <c r="I23" s="816"/>
      <c r="J23" s="151">
        <f>G23+I23</f>
        <v>0</v>
      </c>
      <c r="K23" s="631">
        <f t="shared" si="2"/>
        <v>0</v>
      </c>
      <c r="L23" s="464">
        <f>IF('[2]T6-Zamestnanci_a_mzdy'!F23-'[2]T6a-Zamestnanci_a_mzdy (ženy)'!F23=0,0,('[2]T6-Zamestnanci_a_mzdy'!J23-'[2]T6a-Zamestnanci_a_mzdy (ženy)'!J23)/('[2]T6-Zamestnanci_a_mzdy'!F23-'[2]T6a-Zamestnanci_a_mzdy (ženy)'!F23)/12)</f>
        <v>522.75</v>
      </c>
    </row>
    <row r="24" spans="1:12" x14ac:dyDescent="0.2">
      <c r="A24" s="30" t="s">
        <v>423</v>
      </c>
      <c r="B24" s="46"/>
      <c r="C24" s="815"/>
      <c r="D24" s="815"/>
      <c r="E24" s="815"/>
      <c r="F24" s="814">
        <f t="shared" si="5"/>
        <v>0</v>
      </c>
      <c r="G24" s="816"/>
      <c r="H24" s="816"/>
      <c r="I24" s="816"/>
      <c r="J24" s="151">
        <f>G24+I24</f>
        <v>0</v>
      </c>
      <c r="K24" s="631">
        <f t="shared" si="2"/>
        <v>0</v>
      </c>
      <c r="L24" s="464">
        <f>IF('[2]T6-Zamestnanci_a_mzdy'!F24-'[2]T6a-Zamestnanci_a_mzdy (ženy)'!F24=0,0,('[2]T6-Zamestnanci_a_mzdy'!J24-'[2]T6a-Zamestnanci_a_mzdy (ženy)'!J24)/('[2]T6-Zamestnanci_a_mzdy'!F24-'[2]T6a-Zamestnanci_a_mzdy (ženy)'!F24)/12)</f>
        <v>0</v>
      </c>
    </row>
    <row r="25" spans="1:12" x14ac:dyDescent="0.2">
      <c r="A25" s="30" t="s">
        <v>424</v>
      </c>
      <c r="B25" s="46"/>
      <c r="C25" s="815"/>
      <c r="D25" s="815"/>
      <c r="E25" s="815"/>
      <c r="F25" s="814">
        <f t="shared" si="5"/>
        <v>0</v>
      </c>
      <c r="G25" s="816"/>
      <c r="H25" s="816"/>
      <c r="I25" s="816"/>
      <c r="J25" s="151">
        <f>G25+I25</f>
        <v>0</v>
      </c>
      <c r="K25" s="631">
        <f t="shared" si="2"/>
        <v>0</v>
      </c>
      <c r="L25" s="464">
        <f>IF('[2]T6-Zamestnanci_a_mzdy'!F25-'[2]T6a-Zamestnanci_a_mzdy (ženy)'!F25=0,0,('[2]T6-Zamestnanci_a_mzdy'!J25-'[2]T6a-Zamestnanci_a_mzdy (ženy)'!J25)/('[2]T6-Zamestnanci_a_mzdy'!F25-'[2]T6a-Zamestnanci_a_mzdy (ženy)'!F25)/12)</f>
        <v>0</v>
      </c>
    </row>
    <row r="26" spans="1:12" ht="16.5" customHeight="1" x14ac:dyDescent="0.2">
      <c r="A26" s="30" t="s">
        <v>425</v>
      </c>
      <c r="B26" s="46"/>
      <c r="C26" s="815"/>
      <c r="D26" s="815"/>
      <c r="E26" s="815"/>
      <c r="F26" s="814">
        <f t="shared" si="5"/>
        <v>0</v>
      </c>
      <c r="G26" s="816"/>
      <c r="H26" s="816"/>
      <c r="I26" s="816"/>
      <c r="J26" s="151">
        <f>G26+I26</f>
        <v>0</v>
      </c>
      <c r="K26" s="631">
        <f t="shared" si="2"/>
        <v>0</v>
      </c>
      <c r="L26" s="464">
        <f>IF('[2]T6-Zamestnanci_a_mzdy'!F26-'[2]T6a-Zamestnanci_a_mzdy (ženy)'!F26=0,0,('[2]T6-Zamestnanci_a_mzdy'!J26-'[2]T6a-Zamestnanci_a_mzdy (ženy)'!J26)/('[2]T6-Zamestnanci_a_mzdy'!F26-'[2]T6a-Zamestnanci_a_mzdy (ženy)'!F26)/12)</f>
        <v>0</v>
      </c>
    </row>
    <row r="27" spans="1:12" x14ac:dyDescent="0.2">
      <c r="A27" s="30"/>
      <c r="B27" s="26"/>
      <c r="C27" s="817"/>
      <c r="D27" s="817"/>
      <c r="E27" s="817"/>
      <c r="F27" s="818">
        <f t="shared" si="5"/>
        <v>0</v>
      </c>
      <c r="G27" s="819"/>
      <c r="H27" s="819"/>
      <c r="I27" s="819"/>
      <c r="J27" s="463"/>
      <c r="K27" s="463"/>
      <c r="L27" s="630"/>
    </row>
    <row r="28" spans="1:12" x14ac:dyDescent="0.2">
      <c r="A28" s="30">
        <v>16</v>
      </c>
      <c r="B28" s="45" t="s">
        <v>74</v>
      </c>
      <c r="C28" s="815">
        <v>118.97</v>
      </c>
      <c r="D28" s="815">
        <v>118.97</v>
      </c>
      <c r="E28" s="815"/>
      <c r="F28" s="814">
        <f t="shared" si="5"/>
        <v>118.97</v>
      </c>
      <c r="G28" s="816">
        <v>844753.68</v>
      </c>
      <c r="H28" s="816">
        <v>844753.68</v>
      </c>
      <c r="I28" s="816">
        <v>101676.15</v>
      </c>
      <c r="J28" s="151">
        <f>G28+I28</f>
        <v>946429.83000000007</v>
      </c>
      <c r="K28" s="631">
        <f t="shared" si="2"/>
        <v>662.93311338993033</v>
      </c>
      <c r="L28" s="464">
        <f>IF('[2]T6-Zamestnanci_a_mzdy'!F28-'[2]T6a-Zamestnanci_a_mzdy (ženy)'!F28=0,0,('[2]T6-Zamestnanci_a_mzdy'!J28-'[2]T6a-Zamestnanci_a_mzdy (ženy)'!J28)/('[2]T6-Zamestnanci_a_mzdy'!F28-'[2]T6a-Zamestnanci_a_mzdy (ženy)'!F28)/12)</f>
        <v>741.83027430921186</v>
      </c>
    </row>
    <row r="29" spans="1:12" x14ac:dyDescent="0.2">
      <c r="A29" s="30">
        <v>17</v>
      </c>
      <c r="B29" s="45" t="s">
        <v>75</v>
      </c>
      <c r="C29" s="815"/>
      <c r="D29" s="815"/>
      <c r="E29" s="815">
        <v>42.332000000000001</v>
      </c>
      <c r="F29" s="814">
        <f t="shared" si="5"/>
        <v>42.332000000000001</v>
      </c>
      <c r="G29" s="816"/>
      <c r="H29" s="816"/>
      <c r="I29" s="816">
        <v>361083.1</v>
      </c>
      <c r="J29" s="151">
        <f>G29+I29</f>
        <v>361083.1</v>
      </c>
      <c r="K29" s="631">
        <f t="shared" si="2"/>
        <v>710.81589183911308</v>
      </c>
      <c r="L29" s="464">
        <f>IF('[2]T6-Zamestnanci_a_mzdy'!F29-'[2]T6a-Zamestnanci_a_mzdy (ženy)'!F29=0,0,('[2]T6-Zamestnanci_a_mzdy'!J29-'[2]T6a-Zamestnanci_a_mzdy (ženy)'!J29)/('[2]T6-Zamestnanci_a_mzdy'!F29-'[2]T6a-Zamestnanci_a_mzdy (ženy)'!F29)/12)</f>
        <v>737.78029854672229</v>
      </c>
    </row>
    <row r="30" spans="1:12" ht="16.5" thickBot="1" x14ac:dyDescent="0.25">
      <c r="A30" s="31">
        <v>18</v>
      </c>
      <c r="B30" s="47" t="s">
        <v>352</v>
      </c>
      <c r="C30" s="821">
        <f t="shared" ref="C30:J30" si="6">C7+C13+C16+C20+C21+C28+C29</f>
        <v>1196.19</v>
      </c>
      <c r="D30" s="821">
        <f t="shared" si="6"/>
        <v>1183.92</v>
      </c>
      <c r="E30" s="821">
        <f t="shared" si="6"/>
        <v>105.482</v>
      </c>
      <c r="F30" s="821">
        <f t="shared" si="6"/>
        <v>1301.6720000000003</v>
      </c>
      <c r="G30" s="61">
        <f t="shared" si="6"/>
        <v>12787553.149999999</v>
      </c>
      <c r="H30" s="61">
        <f t="shared" si="6"/>
        <v>12473504.35</v>
      </c>
      <c r="I30" s="61">
        <f t="shared" si="6"/>
        <v>1828134.7999999998</v>
      </c>
      <c r="J30" s="152">
        <f t="shared" si="6"/>
        <v>14615687.950000001</v>
      </c>
      <c r="K30" s="632">
        <f t="shared" si="2"/>
        <v>935.69962005277296</v>
      </c>
      <c r="L30" s="465">
        <f>IF('[2]T6-Zamestnanci_a_mzdy'!F30-'[2]T6a-Zamestnanci_a_mzdy (ženy)'!F30=0,0,('[2]T6-Zamestnanci_a_mzdy'!J30-'[2]T6a-Zamestnanci_a_mzdy (ženy)'!J30)/('[2]T6-Zamestnanci_a_mzdy'!F30-'[2]T6a-Zamestnanci_a_mzdy (ženy)'!F30)/12)</f>
        <v>1252.172132689326</v>
      </c>
    </row>
    <row r="31" spans="1:12" x14ac:dyDescent="0.2">
      <c r="A31" s="18"/>
      <c r="B31" s="18"/>
      <c r="C31" s="21"/>
      <c r="D31" s="18"/>
      <c r="E31" s="18"/>
      <c r="F31" s="21"/>
      <c r="G31" s="21"/>
      <c r="H31" s="21"/>
      <c r="I31" s="21"/>
      <c r="J31" s="21"/>
    </row>
    <row r="32" spans="1:12" x14ac:dyDescent="0.25">
      <c r="A32" s="986" t="s">
        <v>10</v>
      </c>
      <c r="B32" s="987"/>
      <c r="C32" s="987"/>
      <c r="D32" s="987"/>
      <c r="E32" s="987"/>
      <c r="F32" s="987"/>
      <c r="G32" s="987"/>
      <c r="H32" s="987"/>
      <c r="I32" s="987"/>
      <c r="J32" s="988"/>
    </row>
    <row r="33" spans="1:12" x14ac:dyDescent="0.25">
      <c r="A33" s="1000" t="s">
        <v>1126</v>
      </c>
      <c r="B33" s="1001"/>
      <c r="C33" s="1001"/>
      <c r="D33" s="1001"/>
      <c r="E33" s="1001"/>
      <c r="F33" s="1001"/>
      <c r="G33" s="1001"/>
      <c r="H33" s="1001"/>
      <c r="I33" s="1001"/>
      <c r="J33" s="1002"/>
    </row>
    <row r="34" spans="1:12" ht="50.25" customHeight="1" x14ac:dyDescent="0.2">
      <c r="B34" s="999" t="s">
        <v>922</v>
      </c>
      <c r="C34" s="999"/>
      <c r="D34" s="999"/>
      <c r="E34" s="999"/>
      <c r="F34" s="999"/>
      <c r="G34" s="999"/>
      <c r="H34" s="999"/>
      <c r="I34" s="999"/>
      <c r="J34" s="999"/>
      <c r="L34" s="845"/>
    </row>
    <row r="35" spans="1:12" x14ac:dyDescent="0.2">
      <c r="B35" s="327" t="s">
        <v>895</v>
      </c>
    </row>
    <row r="36" spans="1:12" x14ac:dyDescent="0.2">
      <c r="B36" s="327" t="s">
        <v>896</v>
      </c>
    </row>
    <row r="37" spans="1:12" x14ac:dyDescent="0.2">
      <c r="B37" s="327" t="s">
        <v>897</v>
      </c>
    </row>
  </sheetData>
  <mergeCells count="17">
    <mergeCell ref="F4:F5"/>
    <mergeCell ref="A32:J32"/>
    <mergeCell ref="A33:J33"/>
    <mergeCell ref="L3:L5"/>
    <mergeCell ref="B34:J34"/>
    <mergeCell ref="A1:K1"/>
    <mergeCell ref="A2:K2"/>
    <mergeCell ref="A3:A5"/>
    <mergeCell ref="B3:B5"/>
    <mergeCell ref="C3:F3"/>
    <mergeCell ref="G3:G5"/>
    <mergeCell ref="H3:H4"/>
    <mergeCell ref="I3:I5"/>
    <mergeCell ref="J3:J5"/>
    <mergeCell ref="K3:K5"/>
    <mergeCell ref="C4:C5"/>
    <mergeCell ref="E4:E5"/>
  </mergeCells>
  <printOptions gridLines="1"/>
  <pageMargins left="0.2" right="0.19" top="0.8" bottom="0.39370078740157483" header="0.51181102362204722" footer="0.27559055118110237"/>
  <pageSetup paperSize="9" scale="64"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pageSetUpPr fitToPage="1"/>
  </sheetPr>
  <dimension ref="A1:G28"/>
  <sheetViews>
    <sheetView zoomScale="70" zoomScaleNormal="70" workbookViewId="0">
      <pane xSplit="2" ySplit="6" topLeftCell="C7" activePane="bottomRight" state="frozen"/>
      <selection pane="topRight" activeCell="C1" sqref="C1"/>
      <selection pane="bottomLeft" activeCell="A7" sqref="A7"/>
      <selection pane="bottomRight" activeCell="D13" sqref="D13"/>
    </sheetView>
  </sheetViews>
  <sheetFormatPr defaultColWidth="9.140625" defaultRowHeight="15.75" x14ac:dyDescent="0.25"/>
  <cols>
    <col min="1" max="1" width="9.140625" style="156"/>
    <col min="2" max="2" width="70.42578125" style="156" customWidth="1"/>
    <col min="3" max="3" width="23.140625" style="156" customWidth="1"/>
    <col min="4" max="4" width="23.85546875" style="156" customWidth="1"/>
    <col min="5" max="5" width="24.5703125" style="156" bestFit="1" customWidth="1"/>
    <col min="6" max="6" width="24.42578125" style="156" customWidth="1"/>
    <col min="7" max="7" width="24" style="156" customWidth="1"/>
    <col min="8" max="16384" width="9.140625" style="156"/>
  </cols>
  <sheetData>
    <row r="1" spans="1:7" ht="39.75" customHeight="1" thickBot="1" x14ac:dyDescent="0.3">
      <c r="A1" s="1007" t="s">
        <v>1396</v>
      </c>
      <c r="B1" s="1008"/>
      <c r="C1" s="1008"/>
      <c r="D1" s="1008"/>
      <c r="E1" s="1008"/>
      <c r="F1" s="1008"/>
      <c r="G1" s="1009"/>
    </row>
    <row r="2" spans="1:7" ht="44.25" customHeight="1" x14ac:dyDescent="0.25">
      <c r="A2" s="1013" t="s">
        <v>1549</v>
      </c>
      <c r="B2" s="1014"/>
      <c r="C2" s="1014"/>
      <c r="D2" s="1014"/>
      <c r="E2" s="1014"/>
      <c r="F2" s="1014"/>
      <c r="G2" s="1015"/>
    </row>
    <row r="3" spans="1:7" ht="41.25" customHeight="1" x14ac:dyDescent="0.25">
      <c r="A3" s="1016" t="s">
        <v>228</v>
      </c>
      <c r="B3" s="1017" t="s">
        <v>359</v>
      </c>
      <c r="C3" s="1020" t="s">
        <v>1383</v>
      </c>
      <c r="D3" s="1021"/>
      <c r="E3" s="1024" t="s">
        <v>1459</v>
      </c>
      <c r="F3" s="1027" t="s">
        <v>1460</v>
      </c>
      <c r="G3" s="1010" t="s">
        <v>1016</v>
      </c>
    </row>
    <row r="4" spans="1:7" ht="18.75" customHeight="1" x14ac:dyDescent="0.25">
      <c r="A4" s="1016"/>
      <c r="B4" s="1018"/>
      <c r="C4" s="1022" t="s">
        <v>371</v>
      </c>
      <c r="D4" s="1023"/>
      <c r="E4" s="1025"/>
      <c r="F4" s="1028"/>
      <c r="G4" s="1011"/>
    </row>
    <row r="5" spans="1:7" ht="47.25" customHeight="1" x14ac:dyDescent="0.25">
      <c r="A5" s="1016"/>
      <c r="B5" s="1019"/>
      <c r="C5" s="592" t="s">
        <v>1111</v>
      </c>
      <c r="D5" s="597" t="s">
        <v>965</v>
      </c>
      <c r="E5" s="1026"/>
      <c r="F5" s="1029"/>
      <c r="G5" s="1012"/>
    </row>
    <row r="6" spans="1:7" ht="26.25" customHeight="1" x14ac:dyDescent="0.25">
      <c r="A6" s="369"/>
      <c r="B6" s="370"/>
      <c r="C6" s="851" t="s">
        <v>314</v>
      </c>
      <c r="D6" s="851" t="s">
        <v>315</v>
      </c>
      <c r="E6" s="851" t="s">
        <v>316</v>
      </c>
      <c r="F6" s="386" t="s">
        <v>323</v>
      </c>
      <c r="G6" s="371" t="s">
        <v>966</v>
      </c>
    </row>
    <row r="7" spans="1:7" ht="21.75" customHeight="1" x14ac:dyDescent="0.25">
      <c r="A7" s="160">
        <v>1</v>
      </c>
      <c r="B7" s="157" t="s">
        <v>1004</v>
      </c>
      <c r="C7" s="649">
        <f>C8+C11</f>
        <v>503624.97000000003</v>
      </c>
      <c r="D7" s="649">
        <f>D8+D11</f>
        <v>4207</v>
      </c>
      <c r="E7" s="649">
        <f>E8+E11</f>
        <v>2885</v>
      </c>
      <c r="F7" s="649">
        <f>F8+F11</f>
        <v>3545863.0600000005</v>
      </c>
      <c r="G7" s="670">
        <f>SUM(C7:F7)</f>
        <v>4056580.0300000007</v>
      </c>
    </row>
    <row r="8" spans="1:7" ht="31.5" x14ac:dyDescent="0.25">
      <c r="A8" s="160">
        <v>2</v>
      </c>
      <c r="B8" s="161" t="s">
        <v>1017</v>
      </c>
      <c r="C8" s="649">
        <f>C9</f>
        <v>3729.15</v>
      </c>
      <c r="D8" s="649">
        <f>D10</f>
        <v>20</v>
      </c>
      <c r="E8" s="649">
        <f>SUM(E9:E10)</f>
        <v>0</v>
      </c>
      <c r="F8" s="649">
        <f>SUM(F9:F10)</f>
        <v>1427232.86</v>
      </c>
      <c r="G8" s="670">
        <f t="shared" ref="G8:G17" si="0">SUM(C8:F8)</f>
        <v>1430982.01</v>
      </c>
    </row>
    <row r="9" spans="1:7" ht="31.5" x14ac:dyDescent="0.25">
      <c r="A9" s="160">
        <v>3</v>
      </c>
      <c r="B9" s="306" t="s">
        <v>1113</v>
      </c>
      <c r="C9" s="646">
        <v>3729.15</v>
      </c>
      <c r="D9" s="713" t="s">
        <v>345</v>
      </c>
      <c r="E9" s="646">
        <v>0</v>
      </c>
      <c r="F9" s="646">
        <v>1420971.86</v>
      </c>
      <c r="G9" s="670">
        <f t="shared" si="0"/>
        <v>1424701.01</v>
      </c>
    </row>
    <row r="10" spans="1:7" ht="31.5" x14ac:dyDescent="0.25">
      <c r="A10" s="160">
        <v>4</v>
      </c>
      <c r="B10" s="306" t="s">
        <v>1394</v>
      </c>
      <c r="C10" s="713" t="s">
        <v>345</v>
      </c>
      <c r="D10" s="646">
        <v>20</v>
      </c>
      <c r="E10" s="646">
        <v>0</v>
      </c>
      <c r="F10" s="769">
        <v>6261</v>
      </c>
      <c r="G10" s="670">
        <f t="shared" si="0"/>
        <v>6281</v>
      </c>
    </row>
    <row r="11" spans="1:7" ht="31.5" x14ac:dyDescent="0.25">
      <c r="A11" s="160">
        <v>5</v>
      </c>
      <c r="B11" s="161" t="s">
        <v>1018</v>
      </c>
      <c r="C11" s="649">
        <f>C12</f>
        <v>499895.82</v>
      </c>
      <c r="D11" s="649">
        <f>D13</f>
        <v>4187</v>
      </c>
      <c r="E11" s="649">
        <f>SUM(E12:E13)</f>
        <v>2885</v>
      </c>
      <c r="F11" s="649">
        <f>SUM(F12:F13)</f>
        <v>2118630.2000000002</v>
      </c>
      <c r="G11" s="670">
        <f>SUM(C11:E11)</f>
        <v>506967.82</v>
      </c>
    </row>
    <row r="12" spans="1:7" ht="31.5" x14ac:dyDescent="0.25">
      <c r="A12" s="160">
        <v>6</v>
      </c>
      <c r="B12" s="306" t="s">
        <v>1114</v>
      </c>
      <c r="C12" s="646">
        <v>499895.82</v>
      </c>
      <c r="D12" s="713" t="s">
        <v>345</v>
      </c>
      <c r="E12" s="646">
        <v>2885</v>
      </c>
      <c r="F12" s="646">
        <v>2118630.2000000002</v>
      </c>
      <c r="G12" s="670">
        <f t="shared" si="0"/>
        <v>2621411.02</v>
      </c>
    </row>
    <row r="13" spans="1:7" s="19" customFormat="1" ht="31.5" x14ac:dyDescent="0.2">
      <c r="A13" s="160">
        <v>7</v>
      </c>
      <c r="B13" s="306" t="s">
        <v>1395</v>
      </c>
      <c r="C13" s="713" t="s">
        <v>345</v>
      </c>
      <c r="D13" s="646">
        <v>4187</v>
      </c>
      <c r="E13" s="646">
        <v>0</v>
      </c>
      <c r="F13" s="646">
        <v>0</v>
      </c>
      <c r="G13" s="670">
        <f t="shared" si="0"/>
        <v>4187</v>
      </c>
    </row>
    <row r="14" spans="1:7" ht="31.5" x14ac:dyDescent="0.25">
      <c r="A14" s="160">
        <v>8</v>
      </c>
      <c r="B14" s="124" t="s">
        <v>1377</v>
      </c>
      <c r="C14" s="646">
        <v>442914</v>
      </c>
      <c r="D14" s="713" t="s">
        <v>345</v>
      </c>
      <c r="E14" s="713" t="s">
        <v>345</v>
      </c>
      <c r="F14" s="713" t="s">
        <v>345</v>
      </c>
      <c r="G14" s="670">
        <f>SUM(C14:F14)</f>
        <v>442914</v>
      </c>
    </row>
    <row r="15" spans="1:7" ht="31.5" x14ac:dyDescent="0.25">
      <c r="A15" s="160">
        <v>9</v>
      </c>
      <c r="B15" s="161" t="s">
        <v>1381</v>
      </c>
      <c r="C15" s="646">
        <v>65915</v>
      </c>
      <c r="D15" s="646">
        <v>0</v>
      </c>
      <c r="E15" s="713" t="s">
        <v>345</v>
      </c>
      <c r="F15" s="713" t="s">
        <v>345</v>
      </c>
      <c r="G15" s="670">
        <f t="shared" si="0"/>
        <v>65915</v>
      </c>
    </row>
    <row r="16" spans="1:7" ht="39" customHeight="1" x14ac:dyDescent="0.25">
      <c r="A16" s="160">
        <v>10</v>
      </c>
      <c r="B16" s="161" t="s">
        <v>1378</v>
      </c>
      <c r="C16" s="770">
        <f>C14+C15-C7</f>
        <v>5204.0299999999697</v>
      </c>
      <c r="D16" s="713" t="s">
        <v>345</v>
      </c>
      <c r="E16" s="713" t="s">
        <v>345</v>
      </c>
      <c r="F16" s="713" t="s">
        <v>345</v>
      </c>
      <c r="G16" s="670">
        <f t="shared" si="0"/>
        <v>5204.0299999999697</v>
      </c>
    </row>
    <row r="17" spans="1:7" ht="21" customHeight="1" x14ac:dyDescent="0.25">
      <c r="A17" s="160">
        <v>11</v>
      </c>
      <c r="B17" s="162" t="s">
        <v>1382</v>
      </c>
      <c r="C17" s="646">
        <v>870</v>
      </c>
      <c r="D17" s="713" t="s">
        <v>345</v>
      </c>
      <c r="E17" s="646">
        <v>5</v>
      </c>
      <c r="F17" s="769">
        <v>6315</v>
      </c>
      <c r="G17" s="670">
        <f t="shared" si="0"/>
        <v>7190</v>
      </c>
    </row>
    <row r="18" spans="1:7" ht="21" customHeight="1" thickBot="1" x14ac:dyDescent="0.3">
      <c r="A18" s="379">
        <v>12</v>
      </c>
      <c r="B18" s="163" t="s">
        <v>434</v>
      </c>
      <c r="C18" s="771">
        <f>IF(C17=0,0,+(C7+D7)/C17)</f>
        <v>583.71490804597704</v>
      </c>
      <c r="D18" s="772" t="s">
        <v>345</v>
      </c>
      <c r="E18" s="771">
        <f>IF(E17=0,0,+E7/E17)</f>
        <v>577</v>
      </c>
      <c r="F18" s="771">
        <f>IF(F17=0,0,+F7/F17)</f>
        <v>561.49850514647676</v>
      </c>
      <c r="G18" s="773">
        <f>IF(G17=0,0,+G7/G17)</f>
        <v>564.19750069541044</v>
      </c>
    </row>
    <row r="19" spans="1:7" x14ac:dyDescent="0.25">
      <c r="C19" s="768"/>
      <c r="D19" s="768"/>
      <c r="E19" s="768"/>
      <c r="F19" s="768"/>
      <c r="G19" s="768"/>
    </row>
    <row r="20" spans="1:7" x14ac:dyDescent="0.25">
      <c r="A20" s="593" t="s">
        <v>1380</v>
      </c>
      <c r="B20" s="594"/>
      <c r="C20" s="774"/>
      <c r="D20" s="774"/>
      <c r="E20" s="774"/>
      <c r="F20" s="774"/>
      <c r="G20" s="775"/>
    </row>
    <row r="21" spans="1:7" x14ac:dyDescent="0.25">
      <c r="A21" s="595" t="s">
        <v>1379</v>
      </c>
      <c r="B21" s="596"/>
      <c r="C21" s="776"/>
      <c r="D21" s="776"/>
      <c r="E21" s="776"/>
      <c r="F21" s="776"/>
      <c r="G21" s="777"/>
    </row>
    <row r="22" spans="1:7" x14ac:dyDescent="0.25">
      <c r="C22" s="768"/>
      <c r="D22" s="768"/>
      <c r="E22" s="768"/>
      <c r="F22" s="768"/>
      <c r="G22" s="768"/>
    </row>
    <row r="23" spans="1:7" x14ac:dyDescent="0.25">
      <c r="C23" s="768"/>
      <c r="D23" s="768"/>
      <c r="E23" s="768"/>
      <c r="F23" s="768"/>
      <c r="G23" s="768"/>
    </row>
    <row r="24" spans="1:7" x14ac:dyDescent="0.25">
      <c r="C24" s="768"/>
      <c r="D24" s="768"/>
      <c r="E24" s="768"/>
      <c r="F24" s="768"/>
      <c r="G24" s="768"/>
    </row>
    <row r="25" spans="1:7" x14ac:dyDescent="0.25">
      <c r="C25" s="768"/>
      <c r="D25" s="768"/>
      <c r="E25" s="768"/>
      <c r="F25" s="768"/>
      <c r="G25" s="768"/>
    </row>
    <row r="26" spans="1:7" x14ac:dyDescent="0.25">
      <c r="C26" s="768"/>
      <c r="D26" s="768"/>
      <c r="E26" s="768"/>
      <c r="F26" s="768"/>
      <c r="G26" s="768"/>
    </row>
    <row r="27" spans="1:7" x14ac:dyDescent="0.25">
      <c r="C27" s="768"/>
      <c r="D27" s="768"/>
      <c r="E27" s="768"/>
      <c r="F27" s="768"/>
      <c r="G27" s="768"/>
    </row>
    <row r="28" spans="1:7" x14ac:dyDescent="0.25">
      <c r="C28" s="768"/>
      <c r="D28" s="768"/>
      <c r="E28" s="768"/>
      <c r="F28" s="768"/>
      <c r="G28" s="768"/>
    </row>
  </sheetData>
  <mergeCells count="9">
    <mergeCell ref="A1:G1"/>
    <mergeCell ref="G3:G5"/>
    <mergeCell ref="A2:G2"/>
    <mergeCell ref="A3:A5"/>
    <mergeCell ref="B3:B5"/>
    <mergeCell ref="C3:D3"/>
    <mergeCell ref="C4:D4"/>
    <mergeCell ref="E3:E5"/>
    <mergeCell ref="F3:F5"/>
  </mergeCells>
  <pageMargins left="0.45" right="0.33" top="0.74803149606299213" bottom="0.74803149606299213" header="0.31496062992125984" footer="0.31496062992125984"/>
  <pageSetup paperSize="9" scale="71"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enableFormatConditionsCalculation="0">
    <tabColor indexed="42"/>
    <pageSetUpPr fitToPage="1"/>
  </sheetPr>
  <dimension ref="A1:G19"/>
  <sheetViews>
    <sheetView zoomScale="70" zoomScaleNormal="70" workbookViewId="0">
      <pane xSplit="2" ySplit="5" topLeftCell="C7" activePane="bottomRight" state="frozen"/>
      <selection pane="topRight" activeCell="C1" sqref="C1"/>
      <selection pane="bottomLeft" activeCell="A6" sqref="A6"/>
      <selection pane="bottomRight" activeCell="I8" sqref="I8"/>
    </sheetView>
  </sheetViews>
  <sheetFormatPr defaultColWidth="9.140625" defaultRowHeight="15.75" x14ac:dyDescent="0.2"/>
  <cols>
    <col min="1" max="1" width="8.140625" style="19" customWidth="1"/>
    <col min="2" max="2" width="93.140625" style="70" customWidth="1"/>
    <col min="3" max="3" width="23" style="19" bestFit="1" customWidth="1"/>
    <col min="4" max="4" width="17.140625" style="19" customWidth="1"/>
    <col min="5" max="5" width="20.85546875" style="19" customWidth="1"/>
    <col min="6" max="6" width="18" style="19" customWidth="1"/>
    <col min="7" max="16384" width="9.140625" style="19"/>
  </cols>
  <sheetData>
    <row r="1" spans="1:7" ht="50.1" customHeight="1" thickBot="1" x14ac:dyDescent="0.25">
      <c r="A1" s="1036" t="s">
        <v>1270</v>
      </c>
      <c r="B1" s="1037"/>
      <c r="C1" s="1037"/>
      <c r="D1" s="1037"/>
      <c r="E1" s="1037"/>
      <c r="F1" s="1038"/>
      <c r="G1" s="23"/>
    </row>
    <row r="2" spans="1:7" ht="36.75" customHeight="1" x14ac:dyDescent="0.2">
      <c r="A2" s="969" t="s">
        <v>427</v>
      </c>
      <c r="B2" s="1046"/>
      <c r="C2" s="1047" t="s">
        <v>1085</v>
      </c>
      <c r="D2" s="1047"/>
      <c r="E2" s="1047"/>
      <c r="F2" s="1048"/>
    </row>
    <row r="3" spans="1:7" ht="33" customHeight="1" x14ac:dyDescent="0.2">
      <c r="A3" s="951" t="s">
        <v>228</v>
      </c>
      <c r="B3" s="1043" t="s">
        <v>359</v>
      </c>
      <c r="C3" s="1039">
        <v>2014</v>
      </c>
      <c r="D3" s="1040"/>
      <c r="E3" s="1041">
        <v>2015</v>
      </c>
      <c r="F3" s="1042"/>
    </row>
    <row r="4" spans="1:7" ht="69" customHeight="1" x14ac:dyDescent="0.2">
      <c r="A4" s="1045"/>
      <c r="B4" s="1044"/>
      <c r="C4" s="849" t="s">
        <v>921</v>
      </c>
      <c r="D4" s="849" t="s">
        <v>211</v>
      </c>
      <c r="E4" s="849" t="s">
        <v>921</v>
      </c>
      <c r="F4" s="852" t="s">
        <v>300</v>
      </c>
    </row>
    <row r="5" spans="1:7" x14ac:dyDescent="0.2">
      <c r="A5" s="119"/>
      <c r="B5" s="88"/>
      <c r="C5" s="36" t="s">
        <v>314</v>
      </c>
      <c r="D5" s="36" t="s">
        <v>315</v>
      </c>
      <c r="E5" s="85" t="s">
        <v>316</v>
      </c>
      <c r="F5" s="94" t="s">
        <v>323</v>
      </c>
    </row>
    <row r="6" spans="1:7" ht="38.25" customHeight="1" x14ac:dyDescent="0.2">
      <c r="A6" s="30">
        <v>1</v>
      </c>
      <c r="B6" s="89" t="s">
        <v>82</v>
      </c>
      <c r="C6" s="659">
        <v>1780440</v>
      </c>
      <c r="D6" s="660" t="s">
        <v>345</v>
      </c>
      <c r="E6" s="659">
        <v>1625550</v>
      </c>
      <c r="F6" s="663" t="s">
        <v>345</v>
      </c>
    </row>
    <row r="7" spans="1:7" ht="38.25" customHeight="1" x14ac:dyDescent="0.2">
      <c r="A7" s="30">
        <f>A6+1</f>
        <v>2</v>
      </c>
      <c r="B7" s="89" t="s">
        <v>372</v>
      </c>
      <c r="C7" s="660" t="s">
        <v>345</v>
      </c>
      <c r="D7" s="655">
        <v>10364</v>
      </c>
      <c r="E7" s="660" t="s">
        <v>345</v>
      </c>
      <c r="F7" s="664">
        <v>9698</v>
      </c>
    </row>
    <row r="8" spans="1:7" ht="38.25" customHeight="1" x14ac:dyDescent="0.2">
      <c r="A8" s="30">
        <f>A7+1</f>
        <v>3</v>
      </c>
      <c r="B8" s="89" t="s">
        <v>998</v>
      </c>
      <c r="C8" s="660" t="s">
        <v>345</v>
      </c>
      <c r="D8" s="655">
        <v>1653</v>
      </c>
      <c r="E8" s="660" t="s">
        <v>345</v>
      </c>
      <c r="F8" s="664">
        <v>1467</v>
      </c>
    </row>
    <row r="9" spans="1:7" ht="35.25" customHeight="1" x14ac:dyDescent="0.2">
      <c r="A9" s="30">
        <f>A8+1</f>
        <v>4</v>
      </c>
      <c r="B9" s="67" t="s">
        <v>865</v>
      </c>
      <c r="C9" s="659">
        <v>330929.96999999997</v>
      </c>
      <c r="D9" s="660" t="s">
        <v>345</v>
      </c>
      <c r="E9" s="665">
        <f>+C11</f>
        <v>252209.96999999997</v>
      </c>
      <c r="F9" s="663" t="s">
        <v>345</v>
      </c>
    </row>
    <row r="10" spans="1:7" ht="37.5" customHeight="1" x14ac:dyDescent="0.2">
      <c r="A10" s="30">
        <f>A9+1</f>
        <v>5</v>
      </c>
      <c r="B10" s="67" t="s">
        <v>959</v>
      </c>
      <c r="C10" s="659">
        <f>1701720</f>
        <v>1701720</v>
      </c>
      <c r="D10" s="660" t="s">
        <v>345</v>
      </c>
      <c r="E10" s="666">
        <v>1562769</v>
      </c>
      <c r="F10" s="663" t="s">
        <v>345</v>
      </c>
    </row>
    <row r="11" spans="1:7" ht="33" customHeight="1" x14ac:dyDescent="0.2">
      <c r="A11" s="30">
        <v>6</v>
      </c>
      <c r="B11" s="67" t="s">
        <v>272</v>
      </c>
      <c r="C11" s="661">
        <f>+C9+C10-C6</f>
        <v>252209.96999999997</v>
      </c>
      <c r="D11" s="660" t="s">
        <v>345</v>
      </c>
      <c r="E11" s="665">
        <f>+E9+E10-E6</f>
        <v>189428.96999999997</v>
      </c>
      <c r="F11" s="663" t="s">
        <v>345</v>
      </c>
    </row>
    <row r="12" spans="1:7" ht="36" customHeight="1" thickBot="1" x14ac:dyDescent="0.25">
      <c r="A12" s="31">
        <v>7</v>
      </c>
      <c r="B12" s="79" t="s">
        <v>273</v>
      </c>
      <c r="C12" s="662">
        <v>171.79</v>
      </c>
      <c r="D12" s="667" t="s">
        <v>345</v>
      </c>
      <c r="E12" s="662">
        <v>151.82</v>
      </c>
      <c r="F12" s="668" t="s">
        <v>345</v>
      </c>
    </row>
    <row r="13" spans="1:7" x14ac:dyDescent="0.2">
      <c r="B13" s="21"/>
    </row>
    <row r="14" spans="1:7" x14ac:dyDescent="0.2">
      <c r="A14" s="1030" t="s">
        <v>91</v>
      </c>
      <c r="B14" s="1031"/>
      <c r="C14" s="1031"/>
      <c r="D14" s="1031"/>
      <c r="E14" s="1031"/>
      <c r="F14" s="1032"/>
    </row>
    <row r="15" spans="1:7" x14ac:dyDescent="0.2">
      <c r="A15" s="1033" t="s">
        <v>413</v>
      </c>
      <c r="B15" s="1034"/>
      <c r="C15" s="1034"/>
      <c r="D15" s="1034"/>
      <c r="E15" s="1034"/>
      <c r="F15" s="1035"/>
    </row>
    <row r="19" spans="6:6" x14ac:dyDescent="0.2">
      <c r="F19" s="19" t="s">
        <v>1551</v>
      </c>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enableFormatConditionsCalculation="0">
    <tabColor indexed="42"/>
    <pageSetUpPr fitToPage="1"/>
  </sheetPr>
  <dimension ref="A1:N24"/>
  <sheetViews>
    <sheetView zoomScale="85" zoomScaleNormal="85" workbookViewId="0">
      <pane xSplit="2" ySplit="5" topLeftCell="C6" activePane="bottomRight" state="frozen"/>
      <selection pane="topRight" activeCell="C1" sqref="C1"/>
      <selection pane="bottomLeft" activeCell="A6" sqref="A6"/>
      <selection pane="bottomRight" activeCell="C10" sqref="C10"/>
    </sheetView>
  </sheetViews>
  <sheetFormatPr defaultColWidth="9.140625" defaultRowHeight="12.75" x14ac:dyDescent="0.2"/>
  <cols>
    <col min="1" max="1" width="8.42578125" style="87" customWidth="1"/>
    <col min="2" max="2" width="77.5703125" style="87" customWidth="1"/>
    <col min="3" max="3" width="15.5703125" style="87" bestFit="1" customWidth="1"/>
    <col min="4" max="4" width="16" style="87" bestFit="1" customWidth="1"/>
    <col min="5" max="6" width="14.5703125" style="87" customWidth="1"/>
    <col min="7" max="7" width="17.28515625" style="87" customWidth="1"/>
    <col min="8" max="16384" width="9.140625" style="87"/>
  </cols>
  <sheetData>
    <row r="1" spans="1:14" ht="50.1" customHeight="1" x14ac:dyDescent="0.2">
      <c r="A1" s="1052" t="s">
        <v>1250</v>
      </c>
      <c r="B1" s="1053"/>
      <c r="C1" s="1053"/>
      <c r="D1" s="1053"/>
      <c r="E1" s="1053"/>
      <c r="F1" s="1054"/>
      <c r="H1" s="112"/>
    </row>
    <row r="2" spans="1:14" ht="33" customHeight="1" x14ac:dyDescent="0.2">
      <c r="A2" s="947" t="s">
        <v>428</v>
      </c>
      <c r="B2" s="948"/>
      <c r="C2" s="948"/>
      <c r="D2" s="948"/>
      <c r="E2" s="948"/>
      <c r="F2" s="1057"/>
    </row>
    <row r="3" spans="1:14" ht="18.75" customHeight="1" x14ac:dyDescent="0.2">
      <c r="A3" s="951" t="s">
        <v>228</v>
      </c>
      <c r="B3" s="995" t="s">
        <v>359</v>
      </c>
      <c r="C3" s="994" t="s">
        <v>1003</v>
      </c>
      <c r="D3" s="994"/>
      <c r="E3" s="994" t="s">
        <v>385</v>
      </c>
      <c r="F3" s="1056"/>
    </row>
    <row r="4" spans="1:14" ht="18.75" customHeight="1" x14ac:dyDescent="0.2">
      <c r="A4" s="1055"/>
      <c r="B4" s="995"/>
      <c r="C4" s="93">
        <v>2014</v>
      </c>
      <c r="D4" s="93">
        <v>2015</v>
      </c>
      <c r="E4" s="14">
        <v>2014</v>
      </c>
      <c r="F4" s="28">
        <v>2015</v>
      </c>
    </row>
    <row r="5" spans="1:14" ht="15.75" x14ac:dyDescent="0.2">
      <c r="A5" s="30"/>
      <c r="B5" s="84"/>
      <c r="C5" s="24" t="s">
        <v>314</v>
      </c>
      <c r="D5" s="24" t="s">
        <v>315</v>
      </c>
      <c r="E5" s="36" t="s">
        <v>316</v>
      </c>
      <c r="F5" s="86" t="s">
        <v>323</v>
      </c>
    </row>
    <row r="6" spans="1:14" ht="31.5" x14ac:dyDescent="0.2">
      <c r="A6" s="30">
        <v>1</v>
      </c>
      <c r="B6" s="45" t="s">
        <v>876</v>
      </c>
      <c r="C6" s="80" t="s">
        <v>345</v>
      </c>
      <c r="D6" s="80" t="s">
        <v>345</v>
      </c>
      <c r="E6" s="895">
        <v>8220</v>
      </c>
      <c r="F6" s="896">
        <v>8220</v>
      </c>
      <c r="G6" s="840"/>
      <c r="H6" s="839"/>
      <c r="I6" s="839"/>
      <c r="J6" s="839"/>
      <c r="K6" s="839"/>
      <c r="L6" s="839"/>
      <c r="M6" s="839"/>
      <c r="N6" s="839"/>
    </row>
    <row r="7" spans="1:14" ht="37.5" x14ac:dyDescent="0.2">
      <c r="A7" s="30">
        <f>A6+1</f>
        <v>2</v>
      </c>
      <c r="B7" s="63" t="s">
        <v>373</v>
      </c>
      <c r="C7" s="80" t="s">
        <v>345</v>
      </c>
      <c r="D7" s="80" t="s">
        <v>345</v>
      </c>
      <c r="E7" s="895">
        <v>65997</v>
      </c>
      <c r="F7" s="669">
        <v>65960</v>
      </c>
    </row>
    <row r="8" spans="1:14" ht="15.75" x14ac:dyDescent="0.2">
      <c r="A8" s="30">
        <v>3</v>
      </c>
      <c r="B8" s="78" t="s">
        <v>297</v>
      </c>
      <c r="C8" s="80" t="s">
        <v>345</v>
      </c>
      <c r="D8" s="80" t="s">
        <v>345</v>
      </c>
      <c r="E8" s="649">
        <f>E7/12</f>
        <v>5499.75</v>
      </c>
      <c r="F8" s="670">
        <f>F7/12</f>
        <v>5496.666666666667</v>
      </c>
    </row>
    <row r="9" spans="1:14" ht="31.5" x14ac:dyDescent="0.2">
      <c r="A9" s="30">
        <f t="shared" ref="A9:A18" si="0">A8+1</f>
        <v>4</v>
      </c>
      <c r="B9" s="63" t="s">
        <v>388</v>
      </c>
      <c r="C9" s="646">
        <v>4048296.7800000003</v>
      </c>
      <c r="D9" s="656">
        <v>4059971.89</v>
      </c>
      <c r="E9" s="80" t="s">
        <v>345</v>
      </c>
      <c r="F9" s="81" t="s">
        <v>345</v>
      </c>
    </row>
    <row r="10" spans="1:14" ht="31.5" x14ac:dyDescent="0.2">
      <c r="A10" s="30">
        <f t="shared" si="0"/>
        <v>5</v>
      </c>
      <c r="B10" s="63" t="s">
        <v>406</v>
      </c>
      <c r="C10" s="646">
        <v>53288.54</v>
      </c>
      <c r="D10" s="646">
        <v>56631.1</v>
      </c>
      <c r="E10" s="646">
        <v>365</v>
      </c>
      <c r="F10" s="671">
        <v>442</v>
      </c>
    </row>
    <row r="11" spans="1:14" ht="31.5" x14ac:dyDescent="0.2">
      <c r="A11" s="30">
        <f t="shared" si="0"/>
        <v>6</v>
      </c>
      <c r="B11" s="63" t="s">
        <v>306</v>
      </c>
      <c r="C11" s="647">
        <v>2512349</v>
      </c>
      <c r="D11" s="647">
        <v>2570212</v>
      </c>
      <c r="E11" s="80" t="s">
        <v>345</v>
      </c>
      <c r="F11" s="81" t="s">
        <v>345</v>
      </c>
      <c r="G11" s="841"/>
    </row>
    <row r="12" spans="1:14" ht="15.75" x14ac:dyDescent="0.2">
      <c r="A12" s="30">
        <f t="shared" si="0"/>
        <v>7</v>
      </c>
      <c r="B12" s="63" t="s">
        <v>386</v>
      </c>
      <c r="C12" s="646">
        <v>831036.87</v>
      </c>
      <c r="D12" s="646">
        <v>462621.15</v>
      </c>
      <c r="E12" s="80" t="s">
        <v>345</v>
      </c>
      <c r="F12" s="81" t="s">
        <v>345</v>
      </c>
    </row>
    <row r="13" spans="1:14" ht="15.75" x14ac:dyDescent="0.2">
      <c r="A13" s="30">
        <f t="shared" si="0"/>
        <v>8</v>
      </c>
      <c r="B13" s="63" t="s">
        <v>407</v>
      </c>
      <c r="C13" s="649">
        <f>SUM(C9:C12)</f>
        <v>7444971.1900000004</v>
      </c>
      <c r="D13" s="649">
        <f>SUM(D9:D12)</f>
        <v>7149436.1400000006</v>
      </c>
      <c r="E13" s="80" t="s">
        <v>345</v>
      </c>
      <c r="F13" s="81" t="s">
        <v>345</v>
      </c>
    </row>
    <row r="14" spans="1:14" ht="15.75" x14ac:dyDescent="0.2">
      <c r="A14" s="30">
        <f t="shared" si="0"/>
        <v>9</v>
      </c>
      <c r="B14" s="63" t="s">
        <v>408</v>
      </c>
      <c r="C14" s="649">
        <v>5931867.9199999999</v>
      </c>
      <c r="D14" s="649">
        <f>D15+D16</f>
        <v>6751678.1600000001</v>
      </c>
      <c r="E14" s="80" t="s">
        <v>345</v>
      </c>
      <c r="F14" s="81" t="s">
        <v>345</v>
      </c>
    </row>
    <row r="15" spans="1:14" ht="15.75" x14ac:dyDescent="0.2">
      <c r="A15" s="30">
        <f t="shared" si="0"/>
        <v>10</v>
      </c>
      <c r="B15" s="46" t="s">
        <v>68</v>
      </c>
      <c r="C15" s="646">
        <v>2046403.6400000001</v>
      </c>
      <c r="D15" s="646">
        <v>2126582.4300000002</v>
      </c>
      <c r="E15" s="80" t="s">
        <v>345</v>
      </c>
      <c r="F15" s="81" t="s">
        <v>345</v>
      </c>
    </row>
    <row r="16" spans="1:14" ht="15.75" x14ac:dyDescent="0.2">
      <c r="A16" s="30">
        <f t="shared" si="0"/>
        <v>11</v>
      </c>
      <c r="B16" s="46" t="s">
        <v>69</v>
      </c>
      <c r="C16" s="646">
        <v>3885464.2800000003</v>
      </c>
      <c r="D16" s="646">
        <v>4625095.7300000004</v>
      </c>
      <c r="E16" s="80" t="s">
        <v>345</v>
      </c>
      <c r="F16" s="81" t="s">
        <v>345</v>
      </c>
    </row>
    <row r="17" spans="1:6" ht="31.5" x14ac:dyDescent="0.2">
      <c r="A17" s="30">
        <f t="shared" si="0"/>
        <v>12</v>
      </c>
      <c r="B17" s="63" t="s">
        <v>409</v>
      </c>
      <c r="C17" s="649">
        <f>+C13-C14</f>
        <v>1513103.2700000005</v>
      </c>
      <c r="D17" s="649">
        <f>+D13-D14</f>
        <v>397757.98000000045</v>
      </c>
      <c r="E17" s="80" t="s">
        <v>345</v>
      </c>
      <c r="F17" s="81" t="s">
        <v>345</v>
      </c>
    </row>
    <row r="18" spans="1:6" ht="16.5" thickBot="1" x14ac:dyDescent="0.25">
      <c r="A18" s="31">
        <f t="shared" si="0"/>
        <v>13</v>
      </c>
      <c r="B18" s="91" t="s">
        <v>410</v>
      </c>
      <c r="C18" s="658">
        <v>1078.57</v>
      </c>
      <c r="D18" s="658">
        <f>IF(F8=0,0,D14/F8)</f>
        <v>1228.3222850212248</v>
      </c>
      <c r="E18" s="82" t="s">
        <v>345</v>
      </c>
      <c r="F18" s="83" t="s">
        <v>345</v>
      </c>
    </row>
    <row r="20" spans="1:6" ht="15" x14ac:dyDescent="0.2">
      <c r="A20" s="1030" t="s">
        <v>387</v>
      </c>
      <c r="B20" s="1031"/>
      <c r="C20" s="1031"/>
      <c r="D20" s="1031"/>
      <c r="E20" s="1031"/>
      <c r="F20" s="1032"/>
    </row>
    <row r="21" spans="1:6" ht="35.25" customHeight="1" x14ac:dyDescent="0.2">
      <c r="A21" s="1049" t="s">
        <v>96</v>
      </c>
      <c r="B21" s="1050"/>
      <c r="C21" s="1050"/>
      <c r="D21" s="1050"/>
      <c r="E21" s="1050"/>
      <c r="F21" s="1051"/>
    </row>
    <row r="24" spans="1:6" x14ac:dyDescent="0.2">
      <c r="F24" s="841"/>
    </row>
  </sheetData>
  <mergeCells count="8">
    <mergeCell ref="A21:F21"/>
    <mergeCell ref="A1:F1"/>
    <mergeCell ref="A3:A4"/>
    <mergeCell ref="B3:B4"/>
    <mergeCell ref="C3:D3"/>
    <mergeCell ref="E3:F3"/>
    <mergeCell ref="A2:F2"/>
    <mergeCell ref="A20:F20"/>
  </mergeCells>
  <phoneticPr fontId="8" type="noConversion"/>
  <pageMargins left="0.66" right="0.45" top="0.98425196850393704" bottom="0.77" header="0.51181102362204722" footer="0.51181102362204722"/>
  <pageSetup paperSize="9" scale="9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selection activeCell="E12" sqref="E12"/>
    </sheetView>
  </sheetViews>
  <sheetFormatPr defaultColWidth="8.7109375" defaultRowHeight="15" x14ac:dyDescent="0.25"/>
  <cols>
    <col min="1" max="1" width="8.7109375" style="857"/>
    <col min="2" max="2" width="97.7109375" style="857" customWidth="1"/>
    <col min="3" max="3" width="15" style="857" bestFit="1" customWidth="1"/>
    <col min="4" max="4" width="19.5703125" style="857" customWidth="1"/>
    <col min="5" max="5" width="24.7109375" style="857" customWidth="1"/>
    <col min="6" max="16384" width="8.7109375" style="857"/>
  </cols>
  <sheetData>
    <row r="1" spans="1:11" ht="19.5" thickBot="1" x14ac:dyDescent="0.3">
      <c r="A1" s="1061" t="s">
        <v>1251</v>
      </c>
      <c r="B1" s="1062"/>
      <c r="C1" s="1062"/>
      <c r="D1" s="1063"/>
      <c r="E1" s="855"/>
      <c r="F1" s="856"/>
      <c r="G1" s="856"/>
      <c r="H1" s="856"/>
      <c r="I1" s="856"/>
      <c r="J1" s="856"/>
      <c r="K1" s="856"/>
    </row>
    <row r="2" spans="1:11" ht="15.75" x14ac:dyDescent="0.25">
      <c r="A2" s="1064" t="s">
        <v>1557</v>
      </c>
      <c r="B2" s="1065"/>
      <c r="C2" s="1065"/>
      <c r="D2" s="1066"/>
      <c r="E2" s="856"/>
      <c r="F2" s="856"/>
      <c r="G2" s="856"/>
      <c r="H2" s="856"/>
      <c r="I2" s="856"/>
      <c r="J2" s="856"/>
      <c r="K2" s="856"/>
    </row>
    <row r="3" spans="1:11" ht="31.5" x14ac:dyDescent="0.25">
      <c r="A3" s="858" t="s">
        <v>228</v>
      </c>
      <c r="B3" s="859" t="s">
        <v>359</v>
      </c>
      <c r="C3" s="860">
        <v>2014</v>
      </c>
      <c r="D3" s="861">
        <v>2015</v>
      </c>
      <c r="E3" s="856"/>
      <c r="F3" s="856"/>
      <c r="G3" s="856"/>
      <c r="H3" s="856"/>
      <c r="I3" s="856"/>
      <c r="J3" s="856"/>
      <c r="K3" s="856"/>
    </row>
    <row r="4" spans="1:11" ht="15.75" x14ac:dyDescent="0.25">
      <c r="A4" s="862"/>
      <c r="B4" s="863"/>
      <c r="C4" s="864" t="s">
        <v>314</v>
      </c>
      <c r="D4" s="865" t="s">
        <v>315</v>
      </c>
      <c r="E4" s="856"/>
      <c r="F4" s="856"/>
      <c r="G4" s="856"/>
      <c r="H4" s="856"/>
      <c r="I4" s="856"/>
      <c r="J4" s="856"/>
      <c r="K4" s="856"/>
    </row>
    <row r="5" spans="1:11" ht="18.75" x14ac:dyDescent="0.25">
      <c r="A5" s="866">
        <v>1</v>
      </c>
      <c r="B5" s="867" t="s">
        <v>307</v>
      </c>
      <c r="C5" s="868">
        <v>1016945.2999999999</v>
      </c>
      <c r="D5" s="869">
        <f>998675.87+101178.65</f>
        <v>1099854.52</v>
      </c>
      <c r="E5" s="856"/>
      <c r="F5" s="856"/>
      <c r="G5" s="856"/>
      <c r="H5" s="856"/>
      <c r="I5" s="856"/>
      <c r="J5" s="856"/>
      <c r="K5" s="856"/>
    </row>
    <row r="6" spans="1:11" ht="15.75" x14ac:dyDescent="0.25">
      <c r="A6" s="866">
        <v>2</v>
      </c>
      <c r="B6" s="867" t="s">
        <v>392</v>
      </c>
      <c r="C6" s="868">
        <v>593829.29999999993</v>
      </c>
      <c r="D6" s="869">
        <f>579421.87+65522.65</f>
        <v>644944.52</v>
      </c>
      <c r="E6" s="856"/>
      <c r="F6" s="856"/>
      <c r="G6" s="856"/>
      <c r="H6" s="856"/>
      <c r="I6" s="856"/>
      <c r="J6" s="856"/>
      <c r="K6" s="856"/>
    </row>
    <row r="7" spans="1:11" ht="15.75" x14ac:dyDescent="0.25">
      <c r="A7" s="866">
        <v>3</v>
      </c>
      <c r="B7" s="870" t="s">
        <v>390</v>
      </c>
      <c r="C7" s="871">
        <v>593368.97</v>
      </c>
      <c r="D7" s="872">
        <f>579421.87+65484.29</f>
        <v>644906.16</v>
      </c>
      <c r="E7" s="856"/>
      <c r="F7" s="856"/>
      <c r="G7" s="856"/>
      <c r="H7" s="856"/>
      <c r="I7" s="856"/>
      <c r="J7" s="856"/>
      <c r="K7" s="856"/>
    </row>
    <row r="8" spans="1:11" ht="15.75" x14ac:dyDescent="0.25">
      <c r="A8" s="866">
        <v>4</v>
      </c>
      <c r="B8" s="870" t="s">
        <v>391</v>
      </c>
      <c r="C8" s="871">
        <v>460.33</v>
      </c>
      <c r="D8" s="872">
        <v>38.36</v>
      </c>
      <c r="E8" s="856"/>
      <c r="F8" s="856"/>
      <c r="G8" s="856"/>
      <c r="H8" s="856"/>
      <c r="I8" s="856"/>
      <c r="J8" s="856"/>
      <c r="K8" s="856"/>
    </row>
    <row r="9" spans="1:11" ht="15.75" x14ac:dyDescent="0.25">
      <c r="A9" s="866">
        <v>5</v>
      </c>
      <c r="B9" s="867" t="s">
        <v>274</v>
      </c>
      <c r="C9" s="873">
        <v>423116</v>
      </c>
      <c r="D9" s="874">
        <f>419254+35656</f>
        <v>454910</v>
      </c>
      <c r="E9" s="856"/>
      <c r="F9" s="856"/>
      <c r="G9" s="856"/>
      <c r="H9" s="856"/>
      <c r="I9" s="856"/>
      <c r="J9" s="856"/>
      <c r="K9" s="856"/>
    </row>
    <row r="10" spans="1:11" ht="15.75" x14ac:dyDescent="0.25">
      <c r="A10" s="866">
        <v>6</v>
      </c>
      <c r="B10" s="870" t="s">
        <v>213</v>
      </c>
      <c r="C10" s="871">
        <v>74757.120000000024</v>
      </c>
      <c r="D10" s="874">
        <f>37294.52+4901.6</f>
        <v>42196.119999999995</v>
      </c>
      <c r="E10" s="856"/>
      <c r="F10" s="856"/>
      <c r="G10" s="856"/>
      <c r="H10" s="856"/>
      <c r="I10" s="856"/>
      <c r="J10" s="856"/>
      <c r="K10" s="856"/>
    </row>
    <row r="11" spans="1:11" ht="15.75" x14ac:dyDescent="0.25">
      <c r="A11" s="866">
        <v>7</v>
      </c>
      <c r="B11" s="870" t="s">
        <v>246</v>
      </c>
      <c r="C11" s="871">
        <v>390555</v>
      </c>
      <c r="D11" s="872">
        <f>406413+38973</f>
        <v>445386</v>
      </c>
      <c r="E11" s="856"/>
      <c r="F11" s="856"/>
      <c r="G11" s="856"/>
      <c r="H11" s="856"/>
      <c r="I11" s="856"/>
      <c r="J11" s="856"/>
      <c r="K11" s="856"/>
    </row>
    <row r="12" spans="1:11" ht="15.75" x14ac:dyDescent="0.25">
      <c r="A12" s="866">
        <v>8</v>
      </c>
      <c r="B12" s="870" t="s">
        <v>930</v>
      </c>
      <c r="C12" s="873">
        <v>42196.119999999995</v>
      </c>
      <c r="D12" s="874">
        <f>8218.6+24453.52</f>
        <v>32672.120000000003</v>
      </c>
      <c r="E12" s="856"/>
      <c r="F12" s="856"/>
      <c r="G12" s="856"/>
      <c r="H12" s="856"/>
      <c r="I12" s="856"/>
      <c r="J12" s="856"/>
      <c r="K12" s="856"/>
    </row>
    <row r="13" spans="1:11" ht="15.75" x14ac:dyDescent="0.25">
      <c r="A13" s="866">
        <v>9</v>
      </c>
      <c r="B13" s="867" t="s">
        <v>931</v>
      </c>
      <c r="C13" s="875">
        <v>980647.92999999993</v>
      </c>
      <c r="D13" s="876">
        <f>964538.85+103137.99</f>
        <v>1067676.8400000001</v>
      </c>
      <c r="E13" s="856"/>
      <c r="F13" s="856"/>
      <c r="G13" s="856"/>
      <c r="H13" s="856"/>
      <c r="I13" s="856"/>
      <c r="J13" s="856"/>
      <c r="K13" s="856"/>
    </row>
    <row r="14" spans="1:11" ht="15.75" x14ac:dyDescent="0.25">
      <c r="A14" s="866"/>
      <c r="B14" s="877" t="s">
        <v>331</v>
      </c>
      <c r="C14" s="878"/>
      <c r="D14" s="879"/>
      <c r="E14" s="880"/>
      <c r="F14" s="881"/>
      <c r="G14" s="881"/>
      <c r="H14" s="881"/>
      <c r="I14" s="881"/>
      <c r="J14" s="881"/>
      <c r="K14" s="881"/>
    </row>
    <row r="15" spans="1:11" ht="18.75" x14ac:dyDescent="0.25">
      <c r="A15" s="866">
        <v>10</v>
      </c>
      <c r="B15" s="882" t="s">
        <v>393</v>
      </c>
      <c r="C15" s="871">
        <v>930976.11999999988</v>
      </c>
      <c r="D15" s="872">
        <f>906155.31+103137.99</f>
        <v>1009293.3</v>
      </c>
      <c r="E15" s="856"/>
      <c r="F15" s="856"/>
      <c r="G15" s="856"/>
      <c r="H15" s="856"/>
      <c r="I15" s="856"/>
      <c r="J15" s="856"/>
      <c r="K15" s="856"/>
    </row>
    <row r="16" spans="1:11" ht="15.75" x14ac:dyDescent="0.25">
      <c r="A16" s="866">
        <v>11</v>
      </c>
      <c r="B16" s="867" t="s">
        <v>932</v>
      </c>
      <c r="C16" s="868">
        <v>36297.369999999995</v>
      </c>
      <c r="D16" s="869">
        <v>32177.68</v>
      </c>
      <c r="E16" s="856"/>
      <c r="F16" s="856"/>
      <c r="G16" s="856"/>
      <c r="H16" s="856"/>
      <c r="I16" s="856"/>
      <c r="J16" s="856"/>
      <c r="K16" s="856"/>
    </row>
    <row r="17" spans="1:5" ht="18.75" x14ac:dyDescent="0.25">
      <c r="A17" s="866">
        <v>12</v>
      </c>
      <c r="B17" s="867" t="s">
        <v>933</v>
      </c>
      <c r="C17" s="868">
        <v>423116</v>
      </c>
      <c r="D17" s="869">
        <f>419254+35656</f>
        <v>454910</v>
      </c>
      <c r="E17" s="856"/>
    </row>
    <row r="18" spans="1:5" ht="15.75" x14ac:dyDescent="0.25">
      <c r="A18" s="883">
        <v>13</v>
      </c>
      <c r="B18" s="884" t="s">
        <v>1386</v>
      </c>
      <c r="C18" s="875">
        <v>373341</v>
      </c>
      <c r="D18" s="885">
        <f>360809+35656</f>
        <v>396465</v>
      </c>
      <c r="E18" s="856"/>
    </row>
    <row r="19" spans="1:5" ht="18.75" x14ac:dyDescent="0.25">
      <c r="A19" s="883">
        <v>14</v>
      </c>
      <c r="B19" s="884" t="s">
        <v>934</v>
      </c>
      <c r="C19" s="875">
        <v>49775</v>
      </c>
      <c r="D19" s="885">
        <v>58445</v>
      </c>
      <c r="E19" s="856"/>
    </row>
    <row r="20" spans="1:5" ht="15.75" x14ac:dyDescent="0.25">
      <c r="A20" s="883">
        <v>15</v>
      </c>
      <c r="B20" s="867" t="s">
        <v>953</v>
      </c>
      <c r="C20" s="868">
        <v>423116</v>
      </c>
      <c r="D20" s="869">
        <f>419254+35656</f>
        <v>454910</v>
      </c>
      <c r="E20" s="856"/>
    </row>
    <row r="21" spans="1:5" ht="16.5" thickBot="1" x14ac:dyDescent="0.3">
      <c r="A21" s="886">
        <v>16</v>
      </c>
      <c r="B21" s="887" t="s">
        <v>1002</v>
      </c>
      <c r="C21" s="888">
        <v>2.4936348271419422</v>
      </c>
      <c r="D21" s="889">
        <f>D15/D18</f>
        <v>2.5457311490295487</v>
      </c>
      <c r="E21" s="856"/>
    </row>
    <row r="22" spans="1:5" ht="15.75" x14ac:dyDescent="0.25">
      <c r="A22" s="890"/>
      <c r="B22" s="891"/>
      <c r="C22" s="892"/>
      <c r="D22" s="892"/>
      <c r="E22" s="880"/>
    </row>
    <row r="23" spans="1:5" ht="15.75" x14ac:dyDescent="0.25">
      <c r="A23" s="1067" t="s">
        <v>389</v>
      </c>
      <c r="B23" s="1068"/>
      <c r="C23" s="1068"/>
      <c r="D23" s="1069"/>
      <c r="E23" s="893"/>
    </row>
    <row r="24" spans="1:5" ht="15.75" x14ac:dyDescent="0.25">
      <c r="A24" s="1070" t="s">
        <v>854</v>
      </c>
      <c r="B24" s="1071"/>
      <c r="C24" s="1071"/>
      <c r="D24" s="1072"/>
      <c r="E24" s="893"/>
    </row>
    <row r="25" spans="1:5" ht="15.75" x14ac:dyDescent="0.25">
      <c r="A25" s="1073" t="s">
        <v>1385</v>
      </c>
      <c r="B25" s="1074"/>
      <c r="C25" s="1074"/>
      <c r="D25" s="1075"/>
      <c r="E25" s="893"/>
    </row>
    <row r="26" spans="1:5" ht="15.75" x14ac:dyDescent="0.25">
      <c r="A26" s="1058" t="s">
        <v>861</v>
      </c>
      <c r="B26" s="1059"/>
      <c r="C26" s="1059"/>
      <c r="D26" s="1060"/>
      <c r="E26" s="893"/>
    </row>
    <row r="27" spans="1:5" ht="15.75" x14ac:dyDescent="0.25">
      <c r="A27" s="827"/>
      <c r="B27" s="894"/>
      <c r="C27" s="827"/>
      <c r="D27" s="827"/>
      <c r="E27" s="893"/>
    </row>
  </sheetData>
  <mergeCells count="6">
    <mergeCell ref="A26:D26"/>
    <mergeCell ref="A1:D1"/>
    <mergeCell ref="A2:D2"/>
    <mergeCell ref="A23:D23"/>
    <mergeCell ref="A24:D24"/>
    <mergeCell ref="A25:D25"/>
  </mergeCells>
  <pageMargins left="0.70866141732283472" right="0.70866141732283472" top="0.74803149606299213" bottom="0.74803149606299213" header="0.31496062992125984" footer="0.31496062992125984"/>
  <pageSetup paperSize="9" scale="65"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enableFormatConditionsCalculation="0">
    <tabColor indexed="42"/>
    <pageSetUpPr fitToPage="1"/>
  </sheetPr>
  <dimension ref="A1:I23"/>
  <sheetViews>
    <sheetView zoomScale="85" zoomScaleNormal="85" workbookViewId="0">
      <pane xSplit="2" ySplit="5" topLeftCell="C15" activePane="bottomRight" state="frozen"/>
      <selection pane="topRight" activeCell="C1" sqref="C1"/>
      <selection pane="bottomLeft" activeCell="A6" sqref="A6"/>
      <selection pane="bottomRight" activeCell="C29" sqref="C29"/>
    </sheetView>
  </sheetViews>
  <sheetFormatPr defaultColWidth="9.140625" defaultRowHeight="15.75" x14ac:dyDescent="0.25"/>
  <cols>
    <col min="1" max="1" width="9.140625" style="2"/>
    <col min="2" max="2" width="88.5703125" style="8" customWidth="1"/>
    <col min="3" max="3" width="23.42578125" style="2" customWidth="1"/>
    <col min="4" max="4" width="24.42578125" style="2" customWidth="1"/>
    <col min="5" max="5" width="29" style="298" bestFit="1" customWidth="1"/>
    <col min="6" max="6" width="12.7109375" style="298" bestFit="1" customWidth="1"/>
    <col min="7" max="7" width="15.140625" style="2" bestFit="1" customWidth="1"/>
    <col min="8" max="8" width="10.28515625" style="2" bestFit="1" customWidth="1"/>
    <col min="9" max="16384" width="9.140625" style="2"/>
  </cols>
  <sheetData>
    <row r="1" spans="1:7" ht="50.1" customHeight="1" thickBot="1" x14ac:dyDescent="0.3">
      <c r="A1" s="1076" t="s">
        <v>1393</v>
      </c>
      <c r="B1" s="1077"/>
      <c r="C1" s="1077"/>
      <c r="D1" s="1078"/>
    </row>
    <row r="2" spans="1:7" ht="27.75" customHeight="1" x14ac:dyDescent="0.25">
      <c r="A2" s="923" t="s">
        <v>429</v>
      </c>
      <c r="B2" s="924"/>
      <c r="C2" s="924"/>
      <c r="D2" s="925"/>
    </row>
    <row r="3" spans="1:7" ht="18.75" customHeight="1" x14ac:dyDescent="0.25">
      <c r="A3" s="938" t="s">
        <v>228</v>
      </c>
      <c r="B3" s="1079" t="s">
        <v>359</v>
      </c>
      <c r="C3" s="1080" t="s">
        <v>335</v>
      </c>
      <c r="D3" s="1081"/>
    </row>
    <row r="4" spans="1:7" s="5" customFormat="1" ht="19.5" customHeight="1" x14ac:dyDescent="0.2">
      <c r="A4" s="938"/>
      <c r="B4" s="1079"/>
      <c r="C4" s="16">
        <v>2014</v>
      </c>
      <c r="D4" s="15">
        <v>2015</v>
      </c>
      <c r="E4" s="299"/>
      <c r="F4" s="299"/>
    </row>
    <row r="5" spans="1:7" s="5" customFormat="1" x14ac:dyDescent="0.2">
      <c r="A5" s="30"/>
      <c r="B5" s="27"/>
      <c r="C5" s="16" t="s">
        <v>314</v>
      </c>
      <c r="D5" s="15" t="s">
        <v>315</v>
      </c>
      <c r="E5" s="299"/>
      <c r="F5" s="299"/>
    </row>
    <row r="6" spans="1:7" s="5" customFormat="1" x14ac:dyDescent="0.2">
      <c r="A6" s="101">
        <v>1</v>
      </c>
      <c r="B6" s="58" t="s">
        <v>237</v>
      </c>
      <c r="C6" s="674">
        <v>20619898.890000001</v>
      </c>
      <c r="D6" s="675">
        <v>21053468.050000001</v>
      </c>
      <c r="E6" s="299"/>
      <c r="F6" s="299"/>
    </row>
    <row r="7" spans="1:7" s="5" customFormat="1" x14ac:dyDescent="0.2">
      <c r="A7" s="101">
        <f t="shared" ref="A7:A20" si="0">A6+1</f>
        <v>2</v>
      </c>
      <c r="B7" s="45" t="s">
        <v>185</v>
      </c>
      <c r="C7" s="645">
        <f>SUM(C8:C13)</f>
        <v>2807426.75</v>
      </c>
      <c r="D7" s="676">
        <f>SUM(D8:D13)</f>
        <v>2845298.94</v>
      </c>
      <c r="E7" s="299" t="s">
        <v>1484</v>
      </c>
      <c r="F7" s="299"/>
    </row>
    <row r="8" spans="1:7" s="5" customFormat="1" ht="18.75" x14ac:dyDescent="0.2">
      <c r="A8" s="101">
        <f t="shared" si="0"/>
        <v>3</v>
      </c>
      <c r="B8" s="59" t="s">
        <v>416</v>
      </c>
      <c r="C8" s="647">
        <v>-1093.01</v>
      </c>
      <c r="D8" s="669">
        <v>0</v>
      </c>
      <c r="E8" s="299"/>
      <c r="F8" s="299"/>
    </row>
    <row r="9" spans="1:7" s="5" customFormat="1" x14ac:dyDescent="0.2">
      <c r="A9" s="101">
        <f t="shared" si="0"/>
        <v>4</v>
      </c>
      <c r="B9" s="59" t="s">
        <v>419</v>
      </c>
      <c r="C9" s="647">
        <v>2741142.17</v>
      </c>
      <c r="D9" s="669">
        <v>2746308.71</v>
      </c>
      <c r="E9" s="299"/>
      <c r="F9" s="299"/>
    </row>
    <row r="10" spans="1:7" s="5" customFormat="1" x14ac:dyDescent="0.2">
      <c r="A10" s="101">
        <f t="shared" si="0"/>
        <v>5</v>
      </c>
      <c r="B10" s="59" t="s">
        <v>420</v>
      </c>
      <c r="C10" s="647">
        <v>64917.59</v>
      </c>
      <c r="D10" s="669">
        <v>106373.15</v>
      </c>
      <c r="E10" s="299"/>
      <c r="F10" s="299"/>
    </row>
    <row r="11" spans="1:7" s="5" customFormat="1" x14ac:dyDescent="0.2">
      <c r="A11" s="101">
        <f t="shared" si="0"/>
        <v>6</v>
      </c>
      <c r="B11" s="59" t="s">
        <v>417</v>
      </c>
      <c r="C11" s="647">
        <v>0</v>
      </c>
      <c r="D11" s="669">
        <v>0</v>
      </c>
      <c r="E11" s="299"/>
      <c r="F11" s="299"/>
    </row>
    <row r="12" spans="1:7" s="5" customFormat="1" x14ac:dyDescent="0.2">
      <c r="A12" s="101">
        <f t="shared" si="0"/>
        <v>7</v>
      </c>
      <c r="B12" s="59" t="s">
        <v>418</v>
      </c>
      <c r="C12" s="647">
        <v>0</v>
      </c>
      <c r="D12" s="669">
        <v>-4107</v>
      </c>
      <c r="E12" s="299"/>
      <c r="F12" s="299"/>
    </row>
    <row r="13" spans="1:7" s="5" customFormat="1" ht="19.5" customHeight="1" x14ac:dyDescent="0.2">
      <c r="A13" s="101">
        <f t="shared" si="0"/>
        <v>8</v>
      </c>
      <c r="B13" s="59" t="s">
        <v>421</v>
      </c>
      <c r="C13" s="647">
        <v>2460</v>
      </c>
      <c r="D13" s="669">
        <v>-3275.92</v>
      </c>
      <c r="E13" s="299"/>
      <c r="F13" s="299"/>
    </row>
    <row r="14" spans="1:7" s="5" customFormat="1" ht="21.75" customHeight="1" x14ac:dyDescent="0.2">
      <c r="A14" s="101">
        <f t="shared" si="0"/>
        <v>9</v>
      </c>
      <c r="B14" s="45" t="s">
        <v>65</v>
      </c>
      <c r="C14" s="645">
        <f>C6+C7</f>
        <v>23427325.640000001</v>
      </c>
      <c r="D14" s="676">
        <f>D6+D7</f>
        <v>23898766.990000002</v>
      </c>
      <c r="E14" s="299"/>
      <c r="F14" s="299"/>
    </row>
    <row r="15" spans="1:7" s="5" customFormat="1" ht="40.5" customHeight="1" x14ac:dyDescent="0.2">
      <c r="A15" s="101">
        <f t="shared" si="0"/>
        <v>10</v>
      </c>
      <c r="B15" s="45" t="s">
        <v>287</v>
      </c>
      <c r="C15" s="674">
        <v>665000</v>
      </c>
      <c r="D15" s="675">
        <v>740000</v>
      </c>
      <c r="E15" s="299"/>
      <c r="F15" s="847"/>
    </row>
    <row r="16" spans="1:7" s="5" customFormat="1" ht="31.5" x14ac:dyDescent="0.2">
      <c r="A16" s="127" t="s">
        <v>884</v>
      </c>
      <c r="B16" s="63" t="s">
        <v>1023</v>
      </c>
      <c r="C16" s="674">
        <v>20264451.02</v>
      </c>
      <c r="D16" s="675">
        <v>72206358.439999998</v>
      </c>
      <c r="E16" s="299"/>
      <c r="F16" s="813">
        <f>'T17-Dotácie zo ŠF EU'!E16+'T17-Dotácie zo ŠF EU'!F16</f>
        <v>72206358.439999998</v>
      </c>
      <c r="G16" s="793"/>
    </row>
    <row r="17" spans="1:9" s="5" customFormat="1" ht="28.5" customHeight="1" x14ac:dyDescent="0.2">
      <c r="A17" s="101">
        <f>A15+1</f>
        <v>11</v>
      </c>
      <c r="B17" s="45" t="s">
        <v>1024</v>
      </c>
      <c r="C17" s="674">
        <v>1155116.21</v>
      </c>
      <c r="D17" s="675">
        <v>822820.42</v>
      </c>
      <c r="E17" s="803"/>
      <c r="F17" s="804"/>
      <c r="G17" s="801"/>
      <c r="H17" s="802"/>
    </row>
    <row r="18" spans="1:9" s="5" customFormat="1" ht="23.25" customHeight="1" x14ac:dyDescent="0.2">
      <c r="A18" s="101">
        <f t="shared" si="0"/>
        <v>12</v>
      </c>
      <c r="B18" s="45" t="s">
        <v>286</v>
      </c>
      <c r="C18" s="674">
        <v>0</v>
      </c>
      <c r="D18" s="675">
        <v>0</v>
      </c>
      <c r="E18" s="299"/>
      <c r="F18" s="299"/>
    </row>
    <row r="19" spans="1:9" s="5" customFormat="1" ht="33" customHeight="1" x14ac:dyDescent="0.2">
      <c r="A19" s="101">
        <f t="shared" si="0"/>
        <v>13</v>
      </c>
      <c r="B19" s="45" t="s">
        <v>1025</v>
      </c>
      <c r="C19" s="674">
        <v>1718.71</v>
      </c>
      <c r="D19" s="675">
        <f>'T2-Ostatné dot mimo MŠ SR'!D39+'T12-KV'!E21+E19</f>
        <v>2074565.6900000002</v>
      </c>
      <c r="E19" s="803"/>
      <c r="F19" s="804"/>
    </row>
    <row r="20" spans="1:9" s="5" customFormat="1" ht="16.5" thickBot="1" x14ac:dyDescent="0.25">
      <c r="A20" s="102">
        <f t="shared" si="0"/>
        <v>14</v>
      </c>
      <c r="B20" s="47" t="s">
        <v>98</v>
      </c>
      <c r="C20" s="677">
        <f>SUM(C14:C19)</f>
        <v>45513611.579999998</v>
      </c>
      <c r="D20" s="678">
        <f>SUM(D14:D19)</f>
        <v>99742511.540000007</v>
      </c>
      <c r="E20" s="299"/>
      <c r="F20" s="299"/>
    </row>
    <row r="21" spans="1:9" ht="9" customHeight="1" x14ac:dyDescent="0.25"/>
    <row r="22" spans="1:9" ht="18" customHeight="1" x14ac:dyDescent="0.25">
      <c r="A22" s="1030" t="s">
        <v>102</v>
      </c>
      <c r="B22" s="1031"/>
      <c r="C22" s="1031"/>
      <c r="D22" s="1032"/>
      <c r="E22" s="824"/>
    </row>
    <row r="23" spans="1:9" x14ac:dyDescent="0.25">
      <c r="A23" s="1049" t="s">
        <v>21</v>
      </c>
      <c r="B23" s="1050"/>
      <c r="C23" s="1050"/>
      <c r="D23" s="1051"/>
      <c r="E23" s="299"/>
      <c r="F23" s="299"/>
      <c r="G23" s="135"/>
      <c r="H23" s="135"/>
      <c r="I23" s="135"/>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enableFormatConditionsCalculation="0">
    <tabColor indexed="33"/>
    <pageSetUpPr fitToPage="1"/>
  </sheetPr>
  <dimension ref="A1:E33"/>
  <sheetViews>
    <sheetView workbookViewId="0">
      <selection activeCell="C12" sqref="C12"/>
    </sheetView>
  </sheetViews>
  <sheetFormatPr defaultColWidth="62.140625" defaultRowHeight="12.75" x14ac:dyDescent="0.2"/>
  <cols>
    <col min="1" max="1" width="17.42578125" customWidth="1"/>
    <col min="2" max="2" width="40.140625" style="125" customWidth="1"/>
    <col min="3" max="3" width="64.42578125" customWidth="1"/>
    <col min="4" max="4" width="15.5703125" customWidth="1"/>
    <col min="5" max="5" width="21" customWidth="1"/>
    <col min="6" max="7" width="19.85546875" customWidth="1"/>
    <col min="8" max="8" width="17.85546875" customWidth="1"/>
    <col min="9" max="9" width="17.140625" customWidth="1"/>
    <col min="10" max="10" width="15.5703125" customWidth="1"/>
    <col min="11" max="11" width="16.85546875" customWidth="1"/>
  </cols>
  <sheetData>
    <row r="1" spans="1:4" s="134" customFormat="1" ht="48" customHeight="1" thickBot="1" x14ac:dyDescent="0.25">
      <c r="A1" s="911" t="s">
        <v>1287</v>
      </c>
      <c r="B1" s="912"/>
      <c r="C1" s="913"/>
    </row>
    <row r="2" spans="1:4" ht="15.75" x14ac:dyDescent="0.2">
      <c r="A2" s="909" t="s">
        <v>870</v>
      </c>
      <c r="B2" s="910"/>
      <c r="C2" s="577" t="s">
        <v>943</v>
      </c>
    </row>
    <row r="3" spans="1:4" ht="15.75" x14ac:dyDescent="0.2">
      <c r="A3" s="572" t="s">
        <v>949</v>
      </c>
      <c r="B3" s="573"/>
      <c r="C3" s="387" t="s">
        <v>951</v>
      </c>
    </row>
    <row r="4" spans="1:4" ht="15.75" x14ac:dyDescent="0.2">
      <c r="A4" s="572" t="s">
        <v>950</v>
      </c>
      <c r="B4" s="573"/>
      <c r="C4" s="387" t="s">
        <v>951</v>
      </c>
    </row>
    <row r="5" spans="1:4" ht="15.75" x14ac:dyDescent="0.2">
      <c r="A5" s="565" t="s">
        <v>1148</v>
      </c>
      <c r="B5" s="567"/>
      <c r="C5" s="568" t="s">
        <v>1156</v>
      </c>
    </row>
    <row r="6" spans="1:4" ht="31.5" x14ac:dyDescent="0.2">
      <c r="A6" s="572" t="s">
        <v>339</v>
      </c>
      <c r="B6" s="388" t="s">
        <v>938</v>
      </c>
      <c r="C6" s="393" t="s">
        <v>433</v>
      </c>
    </row>
    <row r="7" spans="1:4" ht="31.5" x14ac:dyDescent="0.2">
      <c r="A7" s="565" t="s">
        <v>229</v>
      </c>
      <c r="B7" s="388" t="s">
        <v>1082</v>
      </c>
      <c r="C7" s="393" t="s">
        <v>433</v>
      </c>
    </row>
    <row r="8" spans="1:4" ht="15.75" x14ac:dyDescent="0.2">
      <c r="A8" s="565" t="s">
        <v>230</v>
      </c>
      <c r="B8" s="388" t="s">
        <v>939</v>
      </c>
      <c r="C8" s="393" t="s">
        <v>433</v>
      </c>
    </row>
    <row r="9" spans="1:4" ht="31.5" x14ac:dyDescent="0.2">
      <c r="A9" s="445" t="s">
        <v>1166</v>
      </c>
      <c r="B9" s="490" t="s">
        <v>1167</v>
      </c>
      <c r="C9" s="472" t="s">
        <v>1463</v>
      </c>
    </row>
    <row r="10" spans="1:4" ht="15.75" x14ac:dyDescent="0.2">
      <c r="A10" s="445" t="s">
        <v>231</v>
      </c>
      <c r="B10" s="388" t="s">
        <v>940</v>
      </c>
      <c r="C10" s="407" t="s">
        <v>1306</v>
      </c>
      <c r="D10" s="473"/>
    </row>
    <row r="11" spans="1:4" ht="15.75" x14ac:dyDescent="0.2">
      <c r="A11" s="569" t="s">
        <v>232</v>
      </c>
      <c r="B11" s="389" t="s">
        <v>941</v>
      </c>
      <c r="C11" s="393" t="s">
        <v>433</v>
      </c>
    </row>
    <row r="12" spans="1:4" ht="31.5" x14ac:dyDescent="0.2">
      <c r="A12" s="460" t="s">
        <v>1168</v>
      </c>
      <c r="B12" s="490" t="s">
        <v>1167</v>
      </c>
      <c r="C12" s="472" t="s">
        <v>1462</v>
      </c>
    </row>
    <row r="13" spans="1:4" ht="15.75" x14ac:dyDescent="0.2">
      <c r="A13" s="565" t="s">
        <v>233</v>
      </c>
      <c r="B13" s="388" t="s">
        <v>942</v>
      </c>
      <c r="C13" s="393" t="s">
        <v>433</v>
      </c>
    </row>
    <row r="14" spans="1:4" ht="15.75" x14ac:dyDescent="0.2">
      <c r="A14" s="565" t="s">
        <v>1128</v>
      </c>
      <c r="B14" s="391" t="s">
        <v>1129</v>
      </c>
      <c r="C14" s="393" t="s">
        <v>433</v>
      </c>
    </row>
    <row r="15" spans="1:4" ht="15.75" x14ac:dyDescent="0.2">
      <c r="A15" s="365" t="s">
        <v>234</v>
      </c>
      <c r="B15" s="390" t="s">
        <v>871</v>
      </c>
      <c r="C15" s="393" t="s">
        <v>433</v>
      </c>
    </row>
    <row r="16" spans="1:4" ht="15.75" x14ac:dyDescent="0.2">
      <c r="A16" s="565" t="s">
        <v>212</v>
      </c>
      <c r="B16" s="388" t="s">
        <v>400</v>
      </c>
      <c r="C16" s="393" t="s">
        <v>433</v>
      </c>
    </row>
    <row r="17" spans="1:5" ht="15.75" x14ac:dyDescent="0.2">
      <c r="A17" s="572" t="s">
        <v>0</v>
      </c>
      <c r="B17" s="388" t="s">
        <v>401</v>
      </c>
      <c r="C17" s="393" t="s">
        <v>433</v>
      </c>
    </row>
    <row r="18" spans="1:5" ht="15.75" x14ac:dyDescent="0.2">
      <c r="A18" s="365" t="s">
        <v>1</v>
      </c>
      <c r="B18" s="388" t="s">
        <v>402</v>
      </c>
      <c r="C18" s="393" t="s">
        <v>433</v>
      </c>
    </row>
    <row r="19" spans="1:5" ht="31.5" x14ac:dyDescent="0.2">
      <c r="A19" s="572" t="s">
        <v>2</v>
      </c>
      <c r="B19" s="388" t="s">
        <v>403</v>
      </c>
      <c r="C19" s="393" t="s">
        <v>433</v>
      </c>
    </row>
    <row r="20" spans="1:5" ht="31.5" x14ac:dyDescent="0.2">
      <c r="A20" s="572" t="s">
        <v>3</v>
      </c>
      <c r="B20" s="388" t="s">
        <v>841</v>
      </c>
      <c r="C20" s="393" t="s">
        <v>433</v>
      </c>
    </row>
    <row r="21" spans="1:5" ht="34.5" customHeight="1" x14ac:dyDescent="0.2">
      <c r="A21" s="572" t="s">
        <v>4</v>
      </c>
      <c r="B21" s="388" t="s">
        <v>92</v>
      </c>
      <c r="C21" s="393" t="s">
        <v>433</v>
      </c>
      <c r="E21" s="364"/>
    </row>
    <row r="22" spans="1:5" ht="15.75" x14ac:dyDescent="0.2">
      <c r="A22" s="572" t="s">
        <v>5</v>
      </c>
      <c r="B22" s="388" t="s">
        <v>93</v>
      </c>
      <c r="C22" s="393" t="s">
        <v>433</v>
      </c>
    </row>
    <row r="23" spans="1:5" ht="15.75" x14ac:dyDescent="0.2">
      <c r="A23" s="572" t="s">
        <v>78</v>
      </c>
      <c r="B23" s="388" t="s">
        <v>94</v>
      </c>
      <c r="C23" s="407"/>
    </row>
    <row r="24" spans="1:5" ht="31.5" x14ac:dyDescent="0.2">
      <c r="A24" s="572" t="s">
        <v>6</v>
      </c>
      <c r="B24" s="388" t="s">
        <v>95</v>
      </c>
      <c r="C24" s="393" t="s">
        <v>433</v>
      </c>
    </row>
    <row r="25" spans="1:5" ht="15.75" x14ac:dyDescent="0.2">
      <c r="A25" s="565" t="s">
        <v>7</v>
      </c>
      <c r="B25" s="388" t="s">
        <v>842</v>
      </c>
      <c r="C25" s="393" t="s">
        <v>433</v>
      </c>
    </row>
    <row r="26" spans="1:5" ht="15.75" x14ac:dyDescent="0.2">
      <c r="A26" s="566" t="s">
        <v>8</v>
      </c>
      <c r="B26" s="388" t="s">
        <v>843</v>
      </c>
      <c r="C26" s="393" t="s">
        <v>433</v>
      </c>
    </row>
    <row r="27" spans="1:5" ht="31.5" x14ac:dyDescent="0.2">
      <c r="A27" s="572" t="s">
        <v>9</v>
      </c>
      <c r="B27" s="388" t="s">
        <v>844</v>
      </c>
      <c r="C27" s="393" t="s">
        <v>433</v>
      </c>
      <c r="D27" s="301"/>
    </row>
    <row r="28" spans="1:5" ht="36.75" customHeight="1" x14ac:dyDescent="0.2">
      <c r="A28" s="572" t="s">
        <v>662</v>
      </c>
      <c r="B28" s="388" t="s">
        <v>1283</v>
      </c>
      <c r="C28" s="393" t="s">
        <v>433</v>
      </c>
      <c r="D28" s="301"/>
    </row>
    <row r="29" spans="1:5" ht="39" customHeight="1" x14ac:dyDescent="0.2">
      <c r="A29" s="445" t="s">
        <v>663</v>
      </c>
      <c r="B29" s="388" t="s">
        <v>1284</v>
      </c>
      <c r="C29" s="393" t="s">
        <v>433</v>
      </c>
      <c r="D29" s="301"/>
    </row>
    <row r="30" spans="1:5" ht="31.5" x14ac:dyDescent="0.2">
      <c r="A30" s="445" t="s">
        <v>916</v>
      </c>
      <c r="B30" s="391" t="s">
        <v>1285</v>
      </c>
      <c r="C30" s="393" t="s">
        <v>433</v>
      </c>
      <c r="D30" s="301"/>
    </row>
    <row r="31" spans="1:5" ht="23.25" customHeight="1" thickBot="1" x14ac:dyDescent="0.25">
      <c r="A31" s="609" t="s">
        <v>664</v>
      </c>
      <c r="B31" s="392" t="s">
        <v>1286</v>
      </c>
      <c r="C31" s="578" t="s">
        <v>433</v>
      </c>
      <c r="D31" s="301"/>
    </row>
    <row r="32" spans="1:5" x14ac:dyDescent="0.2">
      <c r="D32" s="301"/>
    </row>
    <row r="33" spans="4:4" x14ac:dyDescent="0.2">
      <c r="D33" s="301"/>
    </row>
  </sheetData>
  <mergeCells count="2">
    <mergeCell ref="A2:B2"/>
    <mergeCell ref="A1:C1"/>
  </mergeCells>
  <phoneticPr fontId="8"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enableFormatConditionsCalculation="0">
    <tabColor indexed="42"/>
    <pageSetUpPr fitToPage="1"/>
  </sheetPr>
  <dimension ref="A1:Z23"/>
  <sheetViews>
    <sheetView zoomScale="70" zoomScaleNormal="70" workbookViewId="0">
      <pane xSplit="2" ySplit="5" topLeftCell="C6" activePane="bottomRight" state="frozen"/>
      <selection pane="topRight" activeCell="C1" sqref="C1"/>
      <selection pane="bottomLeft" activeCell="A6" sqref="A6"/>
      <selection pane="bottomRight" activeCell="G25" sqref="G25"/>
    </sheetView>
  </sheetViews>
  <sheetFormatPr defaultColWidth="9.140625" defaultRowHeight="15.75" x14ac:dyDescent="0.25"/>
  <cols>
    <col min="1" max="1" width="7.42578125" style="2" customWidth="1"/>
    <col min="2" max="2" width="51.5703125" style="8" customWidth="1"/>
    <col min="3" max="3" width="17" style="792" customWidth="1"/>
    <col min="4" max="4" width="18.140625" style="792" customWidth="1"/>
    <col min="5" max="5" width="18.5703125" style="792" customWidth="1"/>
    <col min="6" max="6" width="16.42578125" style="792" customWidth="1"/>
    <col min="7" max="7" width="15.42578125" style="792" customWidth="1"/>
    <col min="8" max="8" width="15.5703125" style="792" customWidth="1"/>
    <col min="9" max="9" width="20.140625" style="792" customWidth="1"/>
    <col min="10" max="10" width="19.28515625" style="792" bestFit="1" customWidth="1"/>
    <col min="11" max="26" width="9.140625" style="792"/>
    <col min="27" max="16384" width="9.140625" style="2"/>
  </cols>
  <sheetData>
    <row r="1" spans="1:26" ht="35.1" customHeight="1" thickBot="1" x14ac:dyDescent="0.3">
      <c r="A1" s="1086" t="s">
        <v>1391</v>
      </c>
      <c r="B1" s="1087"/>
      <c r="C1" s="1087"/>
      <c r="D1" s="1087"/>
      <c r="E1" s="1087"/>
      <c r="F1" s="1087"/>
      <c r="G1" s="1087"/>
      <c r="H1" s="1087"/>
      <c r="I1" s="1088"/>
    </row>
    <row r="2" spans="1:26" ht="35.1" customHeight="1" x14ac:dyDescent="0.25">
      <c r="A2" s="969" t="s">
        <v>429</v>
      </c>
      <c r="B2" s="970"/>
      <c r="C2" s="970"/>
      <c r="D2" s="970"/>
      <c r="E2" s="970"/>
      <c r="F2" s="970"/>
      <c r="G2" s="970"/>
      <c r="H2" s="970"/>
      <c r="I2" s="971"/>
    </row>
    <row r="3" spans="1:26" s="5" customFormat="1" ht="35.25" customHeight="1" x14ac:dyDescent="0.2">
      <c r="A3" s="1045" t="s">
        <v>228</v>
      </c>
      <c r="B3" s="940" t="s">
        <v>359</v>
      </c>
      <c r="C3" s="1091" t="s">
        <v>1271</v>
      </c>
      <c r="D3" s="1091" t="s">
        <v>1273</v>
      </c>
      <c r="E3" s="1082" t="s">
        <v>1272</v>
      </c>
      <c r="F3" s="1082" t="s">
        <v>199</v>
      </c>
      <c r="G3" s="1089" t="s">
        <v>253</v>
      </c>
      <c r="H3" s="1089" t="s">
        <v>900</v>
      </c>
      <c r="I3" s="1084" t="s">
        <v>254</v>
      </c>
      <c r="J3" s="793"/>
      <c r="K3" s="793"/>
      <c r="L3" s="793"/>
      <c r="M3" s="793"/>
      <c r="N3" s="793"/>
      <c r="O3" s="793"/>
      <c r="P3" s="793"/>
      <c r="Q3" s="793"/>
      <c r="R3" s="793"/>
      <c r="S3" s="793"/>
      <c r="T3" s="793"/>
      <c r="U3" s="793"/>
      <c r="V3" s="793"/>
      <c r="W3" s="793"/>
      <c r="X3" s="793"/>
      <c r="Y3" s="793"/>
      <c r="Z3" s="793"/>
    </row>
    <row r="4" spans="1:26" s="5" customFormat="1" ht="72" customHeight="1" x14ac:dyDescent="0.2">
      <c r="A4" s="938"/>
      <c r="B4" s="995"/>
      <c r="C4" s="1092"/>
      <c r="D4" s="1092"/>
      <c r="E4" s="1083"/>
      <c r="F4" s="1083"/>
      <c r="G4" s="1090"/>
      <c r="H4" s="1090"/>
      <c r="I4" s="1085"/>
      <c r="J4" s="793"/>
      <c r="K4" s="793"/>
      <c r="L4" s="793"/>
      <c r="M4" s="793"/>
      <c r="N4" s="793"/>
      <c r="O4" s="793"/>
      <c r="P4" s="793"/>
      <c r="Q4" s="793"/>
      <c r="R4" s="793"/>
      <c r="S4" s="793"/>
      <c r="T4" s="793"/>
      <c r="U4" s="793"/>
      <c r="V4" s="793"/>
      <c r="W4" s="793"/>
      <c r="X4" s="793"/>
      <c r="Y4" s="793"/>
      <c r="Z4" s="793"/>
    </row>
    <row r="5" spans="1:26" s="5" customFormat="1" x14ac:dyDescent="0.2">
      <c r="A5" s="30"/>
      <c r="B5" s="88"/>
      <c r="C5" s="713" t="s">
        <v>314</v>
      </c>
      <c r="D5" s="713" t="s">
        <v>315</v>
      </c>
      <c r="E5" s="713" t="s">
        <v>316</v>
      </c>
      <c r="F5" s="713" t="s">
        <v>323</v>
      </c>
      <c r="G5" s="713" t="s">
        <v>317</v>
      </c>
      <c r="H5" s="713" t="s">
        <v>318</v>
      </c>
      <c r="I5" s="794" t="s">
        <v>885</v>
      </c>
      <c r="J5" s="793"/>
      <c r="K5" s="793"/>
      <c r="L5" s="793"/>
      <c r="M5" s="793"/>
      <c r="N5" s="793"/>
      <c r="O5" s="793"/>
      <c r="P5" s="793"/>
      <c r="Q5" s="793"/>
      <c r="R5" s="793"/>
      <c r="S5" s="793"/>
      <c r="T5" s="793"/>
      <c r="U5" s="793"/>
      <c r="V5" s="793"/>
      <c r="W5" s="793"/>
      <c r="X5" s="793"/>
      <c r="Y5" s="793"/>
      <c r="Z5" s="793"/>
    </row>
    <row r="6" spans="1:26" s="5" customFormat="1" x14ac:dyDescent="0.2">
      <c r="A6" s="30">
        <v>1</v>
      </c>
      <c r="B6" s="67" t="s">
        <v>412</v>
      </c>
      <c r="C6" s="646">
        <v>23836.78</v>
      </c>
      <c r="D6" s="646">
        <v>1218732.53</v>
      </c>
      <c r="E6" s="646">
        <v>57516.24</v>
      </c>
      <c r="F6" s="646">
        <v>176104.39</v>
      </c>
      <c r="G6" s="646"/>
      <c r="H6" s="646"/>
      <c r="I6" s="670">
        <f t="shared" ref="I6:I16" si="0">SUM(C6:H6)</f>
        <v>1476189.94</v>
      </c>
      <c r="J6" s="793"/>
      <c r="K6" s="793"/>
      <c r="L6" s="793"/>
      <c r="M6" s="793"/>
      <c r="N6" s="793"/>
      <c r="O6" s="793"/>
      <c r="P6" s="793"/>
      <c r="Q6" s="793"/>
      <c r="R6" s="793"/>
      <c r="S6" s="793"/>
      <c r="T6" s="793"/>
      <c r="U6" s="793"/>
      <c r="V6" s="793"/>
      <c r="W6" s="793"/>
      <c r="X6" s="793"/>
      <c r="Y6" s="793"/>
      <c r="Z6" s="793"/>
    </row>
    <row r="7" spans="1:26" s="5" customFormat="1" x14ac:dyDescent="0.2">
      <c r="A7" s="30"/>
      <c r="B7" s="68" t="s">
        <v>331</v>
      </c>
      <c r="C7" s="646"/>
      <c r="D7" s="646"/>
      <c r="E7" s="646"/>
      <c r="F7" s="646"/>
      <c r="G7" s="646"/>
      <c r="H7" s="646"/>
      <c r="I7" s="670"/>
      <c r="J7" s="793"/>
      <c r="K7" s="793"/>
      <c r="L7" s="793"/>
      <c r="M7" s="793"/>
      <c r="N7" s="793"/>
      <c r="O7" s="793"/>
      <c r="P7" s="793"/>
      <c r="Q7" s="793"/>
      <c r="R7" s="793"/>
      <c r="S7" s="793"/>
      <c r="T7" s="793"/>
      <c r="U7" s="793"/>
      <c r="V7" s="793"/>
      <c r="W7" s="793"/>
      <c r="X7" s="793"/>
      <c r="Y7" s="793"/>
      <c r="Z7" s="793"/>
    </row>
    <row r="8" spans="1:26" s="5" customFormat="1" x14ac:dyDescent="0.2">
      <c r="A8" s="30">
        <v>2</v>
      </c>
      <c r="B8" s="107" t="s">
        <v>66</v>
      </c>
      <c r="C8" s="646">
        <v>23836.78</v>
      </c>
      <c r="D8" s="646">
        <v>1218732.53</v>
      </c>
      <c r="E8" s="646">
        <v>57516.24</v>
      </c>
      <c r="F8" s="646">
        <v>176104.39</v>
      </c>
      <c r="G8" s="646"/>
      <c r="H8" s="646"/>
      <c r="I8" s="670">
        <f t="shared" si="0"/>
        <v>1476189.94</v>
      </c>
      <c r="J8" s="793"/>
      <c r="K8" s="793"/>
      <c r="L8" s="793"/>
      <c r="M8" s="793"/>
      <c r="N8" s="793"/>
      <c r="O8" s="793"/>
      <c r="P8" s="793"/>
      <c r="Q8" s="793"/>
      <c r="R8" s="793"/>
      <c r="S8" s="793"/>
      <c r="T8" s="793"/>
      <c r="U8" s="793"/>
      <c r="V8" s="793"/>
      <c r="W8" s="793"/>
      <c r="X8" s="793"/>
      <c r="Y8" s="793"/>
      <c r="Z8" s="793"/>
    </row>
    <row r="9" spans="1:26" x14ac:dyDescent="0.25">
      <c r="A9" s="30">
        <v>3</v>
      </c>
      <c r="B9" s="67" t="s">
        <v>313</v>
      </c>
      <c r="C9" s="646"/>
      <c r="D9" s="646"/>
      <c r="E9" s="646"/>
      <c r="F9" s="646">
        <v>4689.6000000000004</v>
      </c>
      <c r="G9" s="646"/>
      <c r="H9" s="646"/>
      <c r="I9" s="670">
        <f t="shared" si="0"/>
        <v>4689.6000000000004</v>
      </c>
    </row>
    <row r="10" spans="1:26" ht="31.5" x14ac:dyDescent="0.25">
      <c r="A10" s="30">
        <v>4</v>
      </c>
      <c r="B10" s="67" t="s">
        <v>271</v>
      </c>
      <c r="C10" s="649">
        <f t="shared" ref="C10:H10" si="1">SUM(C11:C15)</f>
        <v>23494.720000000001</v>
      </c>
      <c r="D10" s="649">
        <f t="shared" si="1"/>
        <v>38486649.57</v>
      </c>
      <c r="E10" s="649">
        <f t="shared" si="1"/>
        <v>126435.79999999999</v>
      </c>
      <c r="F10" s="649">
        <f t="shared" si="1"/>
        <v>2952657.1899999995</v>
      </c>
      <c r="G10" s="649">
        <f t="shared" si="1"/>
        <v>0</v>
      </c>
      <c r="H10" s="649">
        <f t="shared" si="1"/>
        <v>17837.849999999999</v>
      </c>
      <c r="I10" s="670">
        <f t="shared" si="0"/>
        <v>41607075.129999995</v>
      </c>
    </row>
    <row r="11" spans="1:26" x14ac:dyDescent="0.25">
      <c r="A11" s="30">
        <v>5</v>
      </c>
      <c r="B11" s="107" t="s">
        <v>380</v>
      </c>
      <c r="C11" s="646"/>
      <c r="D11" s="646">
        <v>485181.24</v>
      </c>
      <c r="E11" s="646">
        <f>143.54+2736.46</f>
        <v>2880</v>
      </c>
      <c r="F11" s="646">
        <f>26527.86</f>
        <v>26527.86</v>
      </c>
      <c r="G11" s="646"/>
      <c r="H11" s="646">
        <f>960</f>
        <v>960</v>
      </c>
      <c r="I11" s="670">
        <f t="shared" si="0"/>
        <v>515549.1</v>
      </c>
    </row>
    <row r="12" spans="1:26" x14ac:dyDescent="0.25">
      <c r="A12" s="30">
        <v>6</v>
      </c>
      <c r="B12" s="107" t="s">
        <v>381</v>
      </c>
      <c r="C12" s="646"/>
      <c r="D12" s="646">
        <v>131375.88</v>
      </c>
      <c r="E12" s="646"/>
      <c r="F12" s="646">
        <f>12194.52</f>
        <v>12194.52</v>
      </c>
      <c r="G12" s="646"/>
      <c r="H12" s="646"/>
      <c r="I12" s="670">
        <f t="shared" si="0"/>
        <v>143570.4</v>
      </c>
    </row>
    <row r="13" spans="1:26" x14ac:dyDescent="0.25">
      <c r="A13" s="30">
        <v>7</v>
      </c>
      <c r="B13" s="124" t="s">
        <v>382</v>
      </c>
      <c r="C13" s="646">
        <f>5110.4</f>
        <v>5110.3999999999996</v>
      </c>
      <c r="D13" s="646">
        <v>3219023.23</v>
      </c>
      <c r="E13" s="646">
        <f>8269.8+4375.66</f>
        <v>12645.46</v>
      </c>
      <c r="F13" s="646">
        <f>29610.49+294782.85</f>
        <v>324393.33999999997</v>
      </c>
      <c r="G13" s="646"/>
      <c r="H13" s="646">
        <v>5000</v>
      </c>
      <c r="I13" s="670">
        <f t="shared" si="0"/>
        <v>3566172.4299999997</v>
      </c>
    </row>
    <row r="14" spans="1:26" ht="31.5" x14ac:dyDescent="0.25">
      <c r="A14" s="30">
        <v>8</v>
      </c>
      <c r="B14" s="107" t="s">
        <v>383</v>
      </c>
      <c r="C14" s="646">
        <v>13578.32</v>
      </c>
      <c r="D14" s="646">
        <v>33666281.219999999</v>
      </c>
      <c r="E14" s="646">
        <f>27793.37+72986.97+10130</f>
        <v>110910.34</v>
      </c>
      <c r="F14" s="646">
        <f>137522.03+2391232.53</f>
        <v>2528754.5599999996</v>
      </c>
      <c r="G14" s="646"/>
      <c r="H14" s="646">
        <v>9842.65</v>
      </c>
      <c r="I14" s="670">
        <f t="shared" si="0"/>
        <v>36329367.090000004</v>
      </c>
      <c r="J14" s="795"/>
    </row>
    <row r="15" spans="1:26" ht="31.5" x14ac:dyDescent="0.25">
      <c r="A15" s="42">
        <v>9</v>
      </c>
      <c r="B15" s="107" t="s">
        <v>384</v>
      </c>
      <c r="C15" s="646">
        <v>4806</v>
      </c>
      <c r="D15" s="646">
        <f>963622.95+21165.05</f>
        <v>984788</v>
      </c>
      <c r="E15" s="646"/>
      <c r="F15" s="646">
        <f>15536.4+40739.36+4511.15</f>
        <v>60786.91</v>
      </c>
      <c r="G15" s="646"/>
      <c r="H15" s="646">
        <v>2035.2</v>
      </c>
      <c r="I15" s="670">
        <f t="shared" si="0"/>
        <v>1052416.1099999999</v>
      </c>
    </row>
    <row r="16" spans="1:26" x14ac:dyDescent="0.25">
      <c r="A16" s="30">
        <v>10</v>
      </c>
      <c r="B16" s="62" t="s">
        <v>203</v>
      </c>
      <c r="C16" s="646">
        <v>0</v>
      </c>
      <c r="D16" s="646">
        <v>0</v>
      </c>
      <c r="E16" s="646">
        <v>0</v>
      </c>
      <c r="F16" s="646">
        <v>0</v>
      </c>
      <c r="G16" s="646">
        <v>0</v>
      </c>
      <c r="H16" s="646"/>
      <c r="I16" s="670">
        <f t="shared" si="0"/>
        <v>0</v>
      </c>
    </row>
    <row r="17" spans="1:26" x14ac:dyDescent="0.25">
      <c r="A17" s="30">
        <v>11</v>
      </c>
      <c r="B17" s="67" t="s">
        <v>204</v>
      </c>
      <c r="C17" s="646">
        <v>25436</v>
      </c>
      <c r="D17" s="646">
        <v>178125</v>
      </c>
      <c r="E17" s="646">
        <v>11340</v>
      </c>
      <c r="F17" s="646">
        <v>71746.14</v>
      </c>
      <c r="G17" s="646"/>
      <c r="H17" s="646"/>
      <c r="I17" s="670">
        <f>SUM(C17:H17)</f>
        <v>286647.14</v>
      </c>
    </row>
    <row r="18" spans="1:26" x14ac:dyDescent="0.25">
      <c r="A18" s="30">
        <v>12</v>
      </c>
      <c r="B18" s="67" t="s">
        <v>328</v>
      </c>
      <c r="C18" s="646">
        <v>1419663.72</v>
      </c>
      <c r="D18" s="646">
        <v>31912259.57</v>
      </c>
      <c r="E18" s="646">
        <v>1579649.05</v>
      </c>
      <c r="F18" s="646">
        <v>4404006.1900000004</v>
      </c>
      <c r="G18" s="646"/>
      <c r="H18" s="646"/>
      <c r="I18" s="670">
        <f>SUM(C18:H18)</f>
        <v>39315578.529999994</v>
      </c>
    </row>
    <row r="19" spans="1:26" x14ac:dyDescent="0.25">
      <c r="A19" s="30">
        <v>13</v>
      </c>
      <c r="B19" s="67" t="s">
        <v>205</v>
      </c>
      <c r="C19" s="646">
        <v>2733</v>
      </c>
      <c r="D19" s="646"/>
      <c r="E19" s="646">
        <v>5874.6</v>
      </c>
      <c r="F19" s="646">
        <v>29582.400000000001</v>
      </c>
      <c r="G19" s="646"/>
      <c r="H19" s="646"/>
      <c r="I19" s="670">
        <f>SUM(C19:H19)</f>
        <v>38190</v>
      </c>
    </row>
    <row r="20" spans="1:26" x14ac:dyDescent="0.25">
      <c r="A20" s="30">
        <v>14</v>
      </c>
      <c r="B20" s="67" t="s">
        <v>336</v>
      </c>
      <c r="C20" s="646">
        <v>489.84</v>
      </c>
      <c r="D20" s="646">
        <v>230</v>
      </c>
      <c r="E20" s="646">
        <v>250</v>
      </c>
      <c r="F20" s="646">
        <v>685220.14</v>
      </c>
      <c r="G20" s="646"/>
      <c r="H20" s="646"/>
      <c r="I20" s="670">
        <f>SUM(C20:H20)</f>
        <v>686189.98</v>
      </c>
    </row>
    <row r="21" spans="1:26" ht="48" thickBot="1" x14ac:dyDescent="0.3">
      <c r="A21" s="31">
        <v>15</v>
      </c>
      <c r="B21" s="586" t="s">
        <v>67</v>
      </c>
      <c r="C21" s="796">
        <f t="shared" ref="C21:H21" si="2">+C6+C9+C10+C16+C17+C18+C19+C20</f>
        <v>1495654.06</v>
      </c>
      <c r="D21" s="796">
        <f t="shared" si="2"/>
        <v>71795996.670000002</v>
      </c>
      <c r="E21" s="796">
        <f t="shared" si="2"/>
        <v>1781065.6900000002</v>
      </c>
      <c r="F21" s="796">
        <f t="shared" si="2"/>
        <v>8324006.0499999998</v>
      </c>
      <c r="G21" s="796">
        <f t="shared" si="2"/>
        <v>0</v>
      </c>
      <c r="H21" s="796">
        <f t="shared" si="2"/>
        <v>17837.849999999999</v>
      </c>
      <c r="I21" s="797">
        <f>SUM(C21:H21)</f>
        <v>83414560.319999993</v>
      </c>
    </row>
    <row r="22" spans="1:26" s="583" customFormat="1" x14ac:dyDescent="0.25">
      <c r="B22" s="584" t="s">
        <v>1387</v>
      </c>
      <c r="C22" s="798" t="s">
        <v>345</v>
      </c>
      <c r="D22" s="798" t="s">
        <v>345</v>
      </c>
      <c r="E22" s="798" t="s">
        <v>345</v>
      </c>
      <c r="F22" s="798" t="s">
        <v>345</v>
      </c>
      <c r="G22" s="798" t="s">
        <v>345</v>
      </c>
      <c r="H22" s="798" t="s">
        <v>345</v>
      </c>
      <c r="I22" s="585">
        <v>2235.1999999999998</v>
      </c>
      <c r="J22" s="799"/>
      <c r="K22" s="799"/>
      <c r="L22" s="799"/>
      <c r="M22" s="799"/>
      <c r="N22" s="799"/>
      <c r="O22" s="799"/>
      <c r="P22" s="799"/>
      <c r="Q22" s="799"/>
      <c r="R22" s="799"/>
      <c r="S22" s="799"/>
      <c r="T22" s="799"/>
      <c r="U22" s="799"/>
      <c r="V22" s="799"/>
      <c r="W22" s="799"/>
      <c r="X22" s="799"/>
      <c r="Y22" s="799"/>
      <c r="Z22" s="799"/>
    </row>
    <row r="23" spans="1:26" x14ac:dyDescent="0.25">
      <c r="C23" s="795"/>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30"/>
  <sheetViews>
    <sheetView zoomScale="85" zoomScaleNormal="85" workbookViewId="0">
      <pane xSplit="2" ySplit="5" topLeftCell="C21" activePane="bottomRight" state="frozen"/>
      <selection pane="topRight" activeCell="C1" sqref="C1"/>
      <selection pane="bottomLeft" activeCell="A6" sqref="A6"/>
      <selection pane="bottomRight" activeCell="H27" sqref="H27:L27"/>
    </sheetView>
  </sheetViews>
  <sheetFormatPr defaultColWidth="9.140625" defaultRowHeight="15.75" x14ac:dyDescent="0.25"/>
  <cols>
    <col min="1" max="1" width="7.42578125" style="351" customWidth="1"/>
    <col min="2" max="2" width="38.85546875" style="356" customWidth="1"/>
    <col min="3" max="4" width="13.5703125" style="351" bestFit="1" customWidth="1"/>
    <col min="5" max="6" width="14.85546875" style="351" bestFit="1" customWidth="1"/>
    <col min="7" max="7" width="13.5703125" style="351" bestFit="1" customWidth="1"/>
    <col min="8" max="8" width="27.7109375" style="351" customWidth="1"/>
    <col min="9" max="9" width="13.42578125" style="351" customWidth="1"/>
    <col min="10" max="10" width="12.42578125" style="351" customWidth="1"/>
    <col min="11" max="11" width="14.5703125" style="351" customWidth="1"/>
    <col min="12" max="12" width="14.42578125" style="351" customWidth="1"/>
    <col min="13" max="13" width="14.85546875" style="351" customWidth="1"/>
    <col min="14" max="14" width="14.5703125" style="351" customWidth="1"/>
    <col min="15" max="15" width="14.140625" style="351" customWidth="1"/>
    <col min="16" max="16" width="14.42578125" style="351" customWidth="1"/>
    <col min="17" max="16384" width="9.140625" style="351"/>
  </cols>
  <sheetData>
    <row r="1" spans="1:256" ht="27.75" customHeight="1" thickBot="1" x14ac:dyDescent="0.3">
      <c r="A1" s="1094" t="s">
        <v>1390</v>
      </c>
      <c r="B1" s="1095"/>
      <c r="C1" s="1095"/>
      <c r="D1" s="1095"/>
      <c r="E1" s="1095"/>
      <c r="F1" s="1095"/>
      <c r="G1" s="1095"/>
      <c r="H1" s="1095"/>
      <c r="I1" s="1095"/>
      <c r="J1" s="1095"/>
      <c r="K1" s="1095"/>
      <c r="L1" s="1095"/>
      <c r="M1" s="1095"/>
      <c r="N1" s="1096"/>
    </row>
    <row r="2" spans="1:256" ht="28.5" customHeight="1" x14ac:dyDescent="0.25">
      <c r="A2" s="1097" t="s">
        <v>429</v>
      </c>
      <c r="B2" s="1098"/>
      <c r="C2" s="1098"/>
      <c r="D2" s="1098"/>
      <c r="E2" s="1098"/>
      <c r="F2" s="1098"/>
      <c r="G2" s="1098"/>
      <c r="H2" s="1098"/>
      <c r="I2" s="1099"/>
      <c r="J2" s="1099"/>
      <c r="K2" s="1098"/>
      <c r="L2" s="1098"/>
      <c r="M2" s="1098"/>
      <c r="N2" s="1100"/>
    </row>
    <row r="3" spans="1:256" ht="51.75" customHeight="1" x14ac:dyDescent="0.25">
      <c r="A3" s="1101" t="s">
        <v>228</v>
      </c>
      <c r="B3" s="1102" t="s">
        <v>1376</v>
      </c>
      <c r="C3" s="1104" t="s">
        <v>362</v>
      </c>
      <c r="D3" s="1104"/>
      <c r="E3" s="1104" t="s">
        <v>363</v>
      </c>
      <c r="F3" s="1104"/>
      <c r="G3" s="1104" t="s">
        <v>364</v>
      </c>
      <c r="H3" s="1080"/>
      <c r="I3" s="1105" t="s">
        <v>967</v>
      </c>
      <c r="J3" s="1105"/>
      <c r="K3" s="1106" t="s">
        <v>337</v>
      </c>
      <c r="L3" s="1104"/>
      <c r="M3" s="1104" t="s">
        <v>356</v>
      </c>
      <c r="N3" s="1109"/>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2"/>
      <c r="CL3" s="352"/>
      <c r="CM3" s="352"/>
      <c r="CN3" s="352"/>
      <c r="CO3" s="352"/>
      <c r="CP3" s="352"/>
      <c r="CQ3" s="352"/>
      <c r="CR3" s="352"/>
      <c r="CS3" s="352"/>
      <c r="CT3" s="352"/>
      <c r="CU3" s="352"/>
      <c r="CV3" s="352"/>
      <c r="CW3" s="352"/>
      <c r="CX3" s="352"/>
      <c r="CY3" s="352"/>
      <c r="CZ3" s="352"/>
      <c r="DA3" s="352"/>
      <c r="DB3" s="352"/>
      <c r="DC3" s="352"/>
      <c r="DD3" s="352"/>
      <c r="DE3" s="352"/>
      <c r="DF3" s="352"/>
      <c r="DG3" s="352"/>
      <c r="DH3" s="352"/>
      <c r="DI3" s="352"/>
      <c r="DJ3" s="352"/>
      <c r="DK3" s="352"/>
      <c r="DL3" s="352"/>
      <c r="DM3" s="352"/>
      <c r="DN3" s="352"/>
      <c r="DO3" s="352"/>
      <c r="DP3" s="352"/>
      <c r="DQ3" s="352"/>
      <c r="DR3" s="352"/>
      <c r="DS3" s="352"/>
      <c r="DT3" s="352"/>
      <c r="DU3" s="352"/>
      <c r="DV3" s="352"/>
      <c r="DW3" s="352"/>
      <c r="DX3" s="352"/>
      <c r="DY3" s="352"/>
      <c r="DZ3" s="352"/>
      <c r="EA3" s="352"/>
      <c r="EB3" s="352"/>
      <c r="EC3" s="352"/>
      <c r="ED3" s="352"/>
      <c r="EE3" s="352"/>
      <c r="EF3" s="352"/>
      <c r="EG3" s="352"/>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2"/>
      <c r="FF3" s="352"/>
      <c r="FG3" s="352"/>
      <c r="FH3" s="352"/>
      <c r="FI3" s="352"/>
      <c r="FJ3" s="352"/>
      <c r="FK3" s="352"/>
      <c r="FL3" s="352"/>
      <c r="FM3" s="352"/>
      <c r="FN3" s="352"/>
      <c r="FO3" s="352"/>
      <c r="FP3" s="352"/>
      <c r="FQ3" s="352"/>
      <c r="FR3" s="352"/>
      <c r="FS3" s="352"/>
      <c r="FT3" s="352"/>
      <c r="FU3" s="352"/>
      <c r="FV3" s="352"/>
      <c r="FW3" s="352"/>
      <c r="FX3" s="352"/>
      <c r="FY3" s="352"/>
      <c r="FZ3" s="352"/>
      <c r="GA3" s="352"/>
      <c r="GB3" s="352"/>
      <c r="GC3" s="352"/>
      <c r="GD3" s="352"/>
      <c r="GE3" s="352"/>
      <c r="GF3" s="352"/>
      <c r="GG3" s="352"/>
      <c r="GH3" s="352"/>
      <c r="GI3" s="352"/>
      <c r="GJ3" s="352"/>
      <c r="GK3" s="352"/>
      <c r="GL3" s="352"/>
      <c r="GM3" s="352"/>
      <c r="GN3" s="352"/>
      <c r="GO3" s="352"/>
      <c r="GP3" s="352"/>
      <c r="GQ3" s="352"/>
      <c r="GR3" s="352"/>
      <c r="GS3" s="352"/>
      <c r="GT3" s="352"/>
      <c r="GU3" s="352"/>
      <c r="GV3" s="352"/>
      <c r="GW3" s="352"/>
      <c r="GX3" s="352"/>
      <c r="GY3" s="352"/>
      <c r="GZ3" s="352"/>
      <c r="HA3" s="352"/>
      <c r="HB3" s="352"/>
      <c r="HC3" s="352"/>
      <c r="HD3" s="352"/>
      <c r="HE3" s="352"/>
      <c r="HF3" s="352"/>
      <c r="HG3" s="352"/>
      <c r="HH3" s="352"/>
      <c r="HI3" s="352"/>
      <c r="HJ3" s="352"/>
      <c r="HK3" s="352"/>
      <c r="HL3" s="352"/>
      <c r="HM3" s="352"/>
      <c r="HN3" s="352"/>
      <c r="HO3" s="352"/>
      <c r="HP3" s="352"/>
      <c r="HQ3" s="352"/>
      <c r="HR3" s="352"/>
      <c r="HS3" s="352"/>
      <c r="HT3" s="352"/>
      <c r="HU3" s="352"/>
      <c r="HV3" s="352"/>
      <c r="HW3" s="352"/>
      <c r="HX3" s="352"/>
      <c r="HY3" s="352"/>
      <c r="HZ3" s="352"/>
      <c r="IA3" s="352"/>
      <c r="IB3" s="352"/>
      <c r="IC3" s="352"/>
      <c r="ID3" s="352"/>
      <c r="IE3" s="352"/>
      <c r="IF3" s="352"/>
      <c r="IG3" s="352"/>
      <c r="IH3" s="352"/>
      <c r="II3" s="352"/>
      <c r="IJ3" s="352"/>
      <c r="IK3" s="352"/>
      <c r="IL3" s="352"/>
      <c r="IM3" s="352"/>
      <c r="IN3" s="352"/>
      <c r="IO3" s="352"/>
      <c r="IP3" s="352"/>
      <c r="IQ3" s="352"/>
      <c r="IR3" s="352"/>
      <c r="IS3" s="352"/>
      <c r="IT3" s="352"/>
      <c r="IU3" s="352"/>
      <c r="IV3" s="352"/>
    </row>
    <row r="4" spans="1:256" ht="17.25" customHeight="1" x14ac:dyDescent="0.25">
      <c r="A4" s="1101"/>
      <c r="B4" s="1103"/>
      <c r="C4" s="853">
        <v>2014</v>
      </c>
      <c r="D4" s="853">
        <v>2015</v>
      </c>
      <c r="E4" s="853">
        <v>2014</v>
      </c>
      <c r="F4" s="853">
        <v>2015</v>
      </c>
      <c r="G4" s="853">
        <v>2014</v>
      </c>
      <c r="H4" s="853">
        <v>2015</v>
      </c>
      <c r="I4" s="853">
        <v>2014</v>
      </c>
      <c r="J4" s="853">
        <v>2015</v>
      </c>
      <c r="K4" s="853">
        <v>2014</v>
      </c>
      <c r="L4" s="853">
        <v>2015</v>
      </c>
      <c r="M4" s="853">
        <v>2014</v>
      </c>
      <c r="N4" s="854">
        <v>2015</v>
      </c>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52"/>
      <c r="ED4" s="352"/>
      <c r="EE4" s="352"/>
      <c r="EF4" s="352"/>
      <c r="EG4" s="352"/>
      <c r="EH4" s="352"/>
      <c r="EI4" s="352"/>
      <c r="EJ4" s="352"/>
      <c r="EK4" s="352"/>
      <c r="EL4" s="352"/>
      <c r="EM4" s="352"/>
      <c r="EN4" s="352"/>
      <c r="EO4" s="352"/>
      <c r="EP4" s="352"/>
      <c r="EQ4" s="352"/>
      <c r="ER4" s="352"/>
      <c r="ES4" s="352"/>
      <c r="ET4" s="352"/>
      <c r="EU4" s="352"/>
      <c r="EV4" s="352"/>
      <c r="EW4" s="352"/>
      <c r="EX4" s="352"/>
      <c r="EY4" s="352"/>
      <c r="EZ4" s="352"/>
      <c r="FA4" s="352"/>
      <c r="FB4" s="352"/>
      <c r="FC4" s="352"/>
      <c r="FD4" s="352"/>
      <c r="FE4" s="352"/>
      <c r="FF4" s="352"/>
      <c r="FG4" s="352"/>
      <c r="FH4" s="352"/>
      <c r="FI4" s="352"/>
      <c r="FJ4" s="352"/>
      <c r="FK4" s="352"/>
      <c r="FL4" s="352"/>
      <c r="FM4" s="352"/>
      <c r="FN4" s="352"/>
      <c r="FO4" s="352"/>
      <c r="FP4" s="352"/>
      <c r="FQ4" s="352"/>
      <c r="FR4" s="352"/>
      <c r="FS4" s="352"/>
      <c r="FT4" s="352"/>
      <c r="FU4" s="352"/>
      <c r="FV4" s="352"/>
      <c r="FW4" s="352"/>
      <c r="FX4" s="352"/>
      <c r="FY4" s="352"/>
      <c r="FZ4" s="352"/>
      <c r="GA4" s="352"/>
      <c r="GB4" s="352"/>
      <c r="GC4" s="352"/>
      <c r="GD4" s="352"/>
      <c r="GE4" s="352"/>
      <c r="GF4" s="352"/>
      <c r="GG4" s="352"/>
      <c r="GH4" s="352"/>
      <c r="GI4" s="352"/>
      <c r="GJ4" s="352"/>
      <c r="GK4" s="352"/>
      <c r="GL4" s="352"/>
      <c r="GM4" s="352"/>
      <c r="GN4" s="352"/>
      <c r="GO4" s="352"/>
      <c r="GP4" s="352"/>
      <c r="GQ4" s="352"/>
      <c r="GR4" s="352"/>
      <c r="GS4" s="352"/>
      <c r="GT4" s="352"/>
      <c r="GU4" s="352"/>
      <c r="GV4" s="352"/>
      <c r="GW4" s="352"/>
      <c r="GX4" s="352"/>
      <c r="GY4" s="352"/>
      <c r="GZ4" s="352"/>
      <c r="HA4" s="352"/>
      <c r="HB4" s="352"/>
      <c r="HC4" s="352"/>
      <c r="HD4" s="352"/>
      <c r="HE4" s="352"/>
      <c r="HF4" s="352"/>
      <c r="HG4" s="352"/>
      <c r="HH4" s="352"/>
      <c r="HI4" s="352"/>
      <c r="HJ4" s="352"/>
      <c r="HK4" s="352"/>
      <c r="HL4" s="352"/>
      <c r="HM4" s="352"/>
      <c r="HN4" s="352"/>
      <c r="HO4" s="352"/>
      <c r="HP4" s="352"/>
      <c r="HQ4" s="352"/>
      <c r="HR4" s="352"/>
      <c r="HS4" s="352"/>
      <c r="HT4" s="352"/>
      <c r="HU4" s="352"/>
      <c r="HV4" s="352"/>
      <c r="HW4" s="352"/>
      <c r="HX4" s="352"/>
      <c r="HY4" s="352"/>
      <c r="HZ4" s="352"/>
      <c r="IA4" s="352"/>
      <c r="IB4" s="352"/>
      <c r="IC4" s="352"/>
      <c r="ID4" s="352"/>
      <c r="IE4" s="352"/>
      <c r="IF4" s="352"/>
      <c r="IG4" s="352"/>
      <c r="IH4" s="352"/>
      <c r="II4" s="352"/>
      <c r="IJ4" s="352"/>
      <c r="IK4" s="352"/>
      <c r="IL4" s="352"/>
      <c r="IM4" s="352"/>
      <c r="IN4" s="352"/>
      <c r="IO4" s="352"/>
      <c r="IP4" s="352"/>
      <c r="IQ4" s="352"/>
      <c r="IR4" s="352"/>
      <c r="IS4" s="352"/>
      <c r="IT4" s="352"/>
      <c r="IU4" s="352"/>
      <c r="IV4" s="352"/>
    </row>
    <row r="5" spans="1:256" ht="31.5" x14ac:dyDescent="0.25">
      <c r="A5" s="42"/>
      <c r="B5" s="353"/>
      <c r="C5" s="36" t="s">
        <v>314</v>
      </c>
      <c r="D5" s="36" t="s">
        <v>315</v>
      </c>
      <c r="E5" s="36" t="s">
        <v>316</v>
      </c>
      <c r="F5" s="36" t="s">
        <v>323</v>
      </c>
      <c r="G5" s="36" t="s">
        <v>317</v>
      </c>
      <c r="H5" s="363" t="s">
        <v>318</v>
      </c>
      <c r="I5" s="36" t="s">
        <v>319</v>
      </c>
      <c r="J5" s="36" t="s">
        <v>320</v>
      </c>
      <c r="K5" s="36" t="s">
        <v>321</v>
      </c>
      <c r="L5" s="36" t="s">
        <v>882</v>
      </c>
      <c r="M5" s="411" t="s">
        <v>1157</v>
      </c>
      <c r="N5" s="412" t="s">
        <v>1158</v>
      </c>
      <c r="O5" s="352"/>
      <c r="P5" s="352"/>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354"/>
      <c r="EZ5" s="354"/>
      <c r="FA5" s="354"/>
      <c r="FB5" s="354"/>
      <c r="FC5" s="354"/>
      <c r="FD5" s="354"/>
      <c r="FE5" s="354"/>
      <c r="FF5" s="354"/>
      <c r="FG5" s="354"/>
      <c r="FH5" s="354"/>
      <c r="FI5" s="354"/>
      <c r="FJ5" s="354"/>
      <c r="FK5" s="354"/>
      <c r="FL5" s="354"/>
      <c r="FM5" s="354"/>
      <c r="FN5" s="354"/>
      <c r="FO5" s="354"/>
      <c r="FP5" s="354"/>
      <c r="FQ5" s="354"/>
      <c r="FR5" s="354"/>
      <c r="FS5" s="354"/>
      <c r="FT5" s="354"/>
      <c r="FU5" s="354"/>
      <c r="FV5" s="354"/>
      <c r="FW5" s="354"/>
      <c r="FX5" s="354"/>
      <c r="FY5" s="354"/>
      <c r="FZ5" s="354"/>
      <c r="GA5" s="354"/>
      <c r="GB5" s="354"/>
      <c r="GC5" s="354"/>
      <c r="GD5" s="354"/>
      <c r="GE5" s="354"/>
      <c r="GF5" s="354"/>
      <c r="GG5" s="354"/>
      <c r="GH5" s="354"/>
      <c r="GI5" s="354"/>
      <c r="GJ5" s="354"/>
      <c r="GK5" s="354"/>
      <c r="GL5" s="354"/>
      <c r="GM5" s="354"/>
      <c r="GN5" s="354"/>
      <c r="GO5" s="354"/>
      <c r="GP5" s="354"/>
      <c r="GQ5" s="354"/>
      <c r="GR5" s="354"/>
      <c r="GS5" s="354"/>
      <c r="GT5" s="354"/>
      <c r="GU5" s="354"/>
      <c r="GV5" s="354"/>
      <c r="GW5" s="354"/>
      <c r="GX5" s="354"/>
      <c r="GY5" s="354"/>
      <c r="GZ5" s="354"/>
      <c r="HA5" s="354"/>
      <c r="HB5" s="354"/>
      <c r="HC5" s="354"/>
      <c r="HD5" s="354"/>
      <c r="HE5" s="354"/>
      <c r="HF5" s="354"/>
      <c r="HG5" s="354"/>
      <c r="HH5" s="354"/>
      <c r="HI5" s="354"/>
      <c r="HJ5" s="354"/>
      <c r="HK5" s="354"/>
      <c r="HL5" s="354"/>
      <c r="HM5" s="354"/>
      <c r="HN5" s="354"/>
      <c r="HO5" s="354"/>
      <c r="HP5" s="354"/>
      <c r="HQ5" s="354"/>
      <c r="HR5" s="354"/>
      <c r="HS5" s="354"/>
      <c r="HT5" s="354"/>
      <c r="HU5" s="354"/>
      <c r="HV5" s="354"/>
      <c r="HW5" s="354"/>
      <c r="HX5" s="354"/>
      <c r="HY5" s="354"/>
      <c r="HZ5" s="354"/>
      <c r="IA5" s="354"/>
      <c r="IB5" s="354"/>
      <c r="IC5" s="354"/>
      <c r="ID5" s="354"/>
      <c r="IE5" s="354"/>
      <c r="IF5" s="354"/>
      <c r="IG5" s="354"/>
      <c r="IH5" s="354"/>
      <c r="II5" s="354"/>
      <c r="IJ5" s="354"/>
      <c r="IK5" s="354"/>
      <c r="IL5" s="354"/>
      <c r="IM5" s="354"/>
      <c r="IN5" s="354"/>
      <c r="IO5" s="354"/>
      <c r="IP5" s="354"/>
      <c r="IQ5" s="354"/>
      <c r="IR5" s="354"/>
      <c r="IS5" s="354"/>
      <c r="IT5" s="354"/>
      <c r="IU5" s="354"/>
      <c r="IV5" s="354"/>
    </row>
    <row r="6" spans="1:256" ht="31.5" x14ac:dyDescent="0.25">
      <c r="A6" s="42">
        <v>1</v>
      </c>
      <c r="B6" s="587" t="s">
        <v>224</v>
      </c>
      <c r="C6" s="679">
        <v>945242.76</v>
      </c>
      <c r="D6" s="680">
        <f>C17</f>
        <v>615626.54</v>
      </c>
      <c r="E6" s="679">
        <v>20619898.890000001</v>
      </c>
      <c r="F6" s="680">
        <f>E17</f>
        <v>21053468.050000001</v>
      </c>
      <c r="G6" s="681">
        <v>837032.93</v>
      </c>
      <c r="H6" s="682">
        <f>G17</f>
        <v>855979.70000000019</v>
      </c>
      <c r="I6" s="679">
        <v>685.95</v>
      </c>
      <c r="J6" s="680">
        <f>SUM(I17)</f>
        <v>685.95000000000027</v>
      </c>
      <c r="K6" s="679">
        <v>493360.43</v>
      </c>
      <c r="L6" s="680">
        <f>SUM(K17)</f>
        <v>510835.99</v>
      </c>
      <c r="M6" s="680">
        <f t="shared" ref="M6:N8" si="0">C6+E6+G6+I6+K6</f>
        <v>22896220.960000001</v>
      </c>
      <c r="N6" s="683">
        <f t="shared" si="0"/>
        <v>23036596.229999997</v>
      </c>
      <c r="O6" s="352"/>
      <c r="P6" s="352"/>
    </row>
    <row r="7" spans="1:256" ht="31.5" x14ac:dyDescent="0.25">
      <c r="A7" s="42">
        <v>2</v>
      </c>
      <c r="B7" s="588" t="s">
        <v>929</v>
      </c>
      <c r="C7" s="680">
        <f t="shared" ref="C7:L7" si="1">SUM(C8:C15)</f>
        <v>2070209.24</v>
      </c>
      <c r="D7" s="680">
        <f t="shared" si="1"/>
        <v>2560949.2400000002</v>
      </c>
      <c r="E7" s="680">
        <f t="shared" si="1"/>
        <v>2807426.75</v>
      </c>
      <c r="F7" s="680">
        <f t="shared" si="1"/>
        <v>2845298.94</v>
      </c>
      <c r="G7" s="682">
        <f>SUM(G8:G15)</f>
        <v>3834485.64</v>
      </c>
      <c r="H7" s="682">
        <f>SUM(H8:H15)</f>
        <v>3782809.2</v>
      </c>
      <c r="I7" s="680">
        <f t="shared" si="1"/>
        <v>2733.57</v>
      </c>
      <c r="J7" s="680">
        <f t="shared" si="1"/>
        <v>0</v>
      </c>
      <c r="K7" s="680">
        <v>-4348.49</v>
      </c>
      <c r="L7" s="680">
        <f t="shared" si="1"/>
        <v>332208.28999999998</v>
      </c>
      <c r="M7" s="680">
        <f t="shared" si="0"/>
        <v>8710506.7100000009</v>
      </c>
      <c r="N7" s="683">
        <f t="shared" si="0"/>
        <v>9521265.6699999981</v>
      </c>
      <c r="O7" s="352"/>
      <c r="P7" s="352"/>
    </row>
    <row r="8" spans="1:256" ht="22.5" customHeight="1" x14ac:dyDescent="0.25">
      <c r="A8" s="42">
        <v>3</v>
      </c>
      <c r="B8" s="589" t="s">
        <v>99</v>
      </c>
      <c r="C8" s="684">
        <v>1760225.98</v>
      </c>
      <c r="D8" s="684">
        <v>2457110.75</v>
      </c>
      <c r="E8" s="684">
        <v>-1093.01</v>
      </c>
      <c r="F8" s="684"/>
      <c r="G8" s="685"/>
      <c r="H8" s="685"/>
      <c r="I8" s="684"/>
      <c r="J8" s="684"/>
      <c r="K8" s="684"/>
      <c r="L8" s="684"/>
      <c r="M8" s="680">
        <f t="shared" si="0"/>
        <v>1759132.97</v>
      </c>
      <c r="N8" s="683">
        <f t="shared" si="0"/>
        <v>2457110.75</v>
      </c>
    </row>
    <row r="9" spans="1:256" ht="21.75" customHeight="1" x14ac:dyDescent="0.25">
      <c r="A9" s="42">
        <v>4</v>
      </c>
      <c r="B9" s="589" t="s">
        <v>346</v>
      </c>
      <c r="C9" s="686" t="s">
        <v>345</v>
      </c>
      <c r="D9" s="686" t="s">
        <v>345</v>
      </c>
      <c r="E9" s="684">
        <v>2741142.17</v>
      </c>
      <c r="F9" s="687">
        <v>2746308.71</v>
      </c>
      <c r="G9" s="686" t="s">
        <v>345</v>
      </c>
      <c r="H9" s="686" t="s">
        <v>345</v>
      </c>
      <c r="I9" s="688" t="s">
        <v>345</v>
      </c>
      <c r="J9" s="688" t="s">
        <v>345</v>
      </c>
      <c r="K9" s="686" t="s">
        <v>345</v>
      </c>
      <c r="L9" s="686" t="s">
        <v>345</v>
      </c>
      <c r="M9" s="680">
        <f>E9</f>
        <v>2741142.17</v>
      </c>
      <c r="N9" s="683">
        <f>F9</f>
        <v>2746308.71</v>
      </c>
    </row>
    <row r="10" spans="1:256" ht="31.5" x14ac:dyDescent="0.25">
      <c r="A10" s="42">
        <v>5</v>
      </c>
      <c r="B10" s="589" t="s">
        <v>11</v>
      </c>
      <c r="C10" s="686" t="s">
        <v>345</v>
      </c>
      <c r="D10" s="686" t="s">
        <v>345</v>
      </c>
      <c r="E10" s="684">
        <v>64917.59</v>
      </c>
      <c r="F10" s="684">
        <v>106373.15</v>
      </c>
      <c r="G10" s="686" t="s">
        <v>345</v>
      </c>
      <c r="H10" s="686" t="s">
        <v>345</v>
      </c>
      <c r="I10" s="688" t="s">
        <v>345</v>
      </c>
      <c r="J10" s="688" t="s">
        <v>345</v>
      </c>
      <c r="K10" s="686" t="s">
        <v>345</v>
      </c>
      <c r="L10" s="686" t="s">
        <v>345</v>
      </c>
      <c r="M10" s="680">
        <f>E10</f>
        <v>64917.59</v>
      </c>
      <c r="N10" s="683">
        <f>F10</f>
        <v>106373.15</v>
      </c>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c r="FF10" s="354"/>
      <c r="FG10" s="354"/>
      <c r="FH10" s="354"/>
      <c r="FI10" s="354"/>
      <c r="FJ10" s="354"/>
      <c r="FK10" s="354"/>
      <c r="FL10" s="354"/>
      <c r="FM10" s="354"/>
      <c r="FN10" s="354"/>
      <c r="FO10" s="354"/>
      <c r="FP10" s="354"/>
      <c r="FQ10" s="354"/>
      <c r="FR10" s="354"/>
      <c r="FS10" s="354"/>
      <c r="FT10" s="354"/>
      <c r="FU10" s="354"/>
      <c r="FV10" s="354"/>
      <c r="FW10" s="354"/>
      <c r="FX10" s="354"/>
      <c r="FY10" s="354"/>
      <c r="FZ10" s="354"/>
      <c r="GA10" s="354"/>
      <c r="GB10" s="354"/>
      <c r="GC10" s="354"/>
      <c r="GD10" s="354"/>
      <c r="GE10" s="354"/>
      <c r="GF10" s="354"/>
      <c r="GG10" s="354"/>
      <c r="GH10" s="354"/>
      <c r="GI10" s="354"/>
      <c r="GJ10" s="354"/>
      <c r="GK10" s="354"/>
      <c r="GL10" s="354"/>
      <c r="GM10" s="354"/>
      <c r="GN10" s="354"/>
      <c r="GO10" s="354"/>
      <c r="GP10" s="354"/>
      <c r="GQ10" s="354"/>
      <c r="GR10" s="354"/>
      <c r="GS10" s="354"/>
      <c r="GT10" s="354"/>
      <c r="GU10" s="354"/>
      <c r="GV10" s="354"/>
      <c r="GW10" s="354"/>
      <c r="GX10" s="354"/>
      <c r="GY10" s="354"/>
      <c r="GZ10" s="354"/>
      <c r="HA10" s="354"/>
      <c r="HB10" s="354"/>
      <c r="HC10" s="354"/>
      <c r="HD10" s="354"/>
      <c r="HE10" s="354"/>
      <c r="HF10" s="354"/>
      <c r="HG10" s="354"/>
      <c r="HH10" s="354"/>
      <c r="HI10" s="354"/>
      <c r="HJ10" s="354"/>
      <c r="HK10" s="354"/>
      <c r="HL10" s="354"/>
      <c r="HM10" s="354"/>
      <c r="HN10" s="354"/>
      <c r="HO10" s="354"/>
      <c r="HP10" s="354"/>
      <c r="HQ10" s="354"/>
      <c r="HR10" s="354"/>
      <c r="HS10" s="354"/>
      <c r="HT10" s="354"/>
      <c r="HU10" s="354"/>
      <c r="HV10" s="354"/>
      <c r="HW10" s="354"/>
      <c r="HX10" s="354"/>
      <c r="HY10" s="354"/>
      <c r="HZ10" s="354"/>
      <c r="IA10" s="354"/>
      <c r="IB10" s="354"/>
      <c r="IC10" s="354"/>
      <c r="ID10" s="354"/>
      <c r="IE10" s="354"/>
      <c r="IF10" s="354"/>
      <c r="IG10" s="354"/>
      <c r="IH10" s="354"/>
      <c r="II10" s="354"/>
      <c r="IJ10" s="354"/>
      <c r="IK10" s="354"/>
      <c r="IL10" s="354"/>
      <c r="IM10" s="354"/>
      <c r="IN10" s="354"/>
      <c r="IO10" s="354"/>
      <c r="IP10" s="354"/>
      <c r="IQ10" s="354"/>
      <c r="IR10" s="354"/>
      <c r="IS10" s="354"/>
      <c r="IT10" s="354"/>
      <c r="IU10" s="354"/>
      <c r="IV10" s="354"/>
    </row>
    <row r="11" spans="1:256" ht="31.5" x14ac:dyDescent="0.25">
      <c r="A11" s="42">
        <v>6</v>
      </c>
      <c r="B11" s="589" t="s">
        <v>347</v>
      </c>
      <c r="C11" s="686" t="s">
        <v>345</v>
      </c>
      <c r="D11" s="686" t="s">
        <v>345</v>
      </c>
      <c r="E11" s="684"/>
      <c r="F11" s="684"/>
      <c r="G11" s="685"/>
      <c r="H11" s="685"/>
      <c r="I11" s="689"/>
      <c r="J11" s="689"/>
      <c r="K11" s="679"/>
      <c r="L11" s="679"/>
      <c r="M11" s="680">
        <f>E11+G11+I11+K11</f>
        <v>0</v>
      </c>
      <c r="N11" s="683">
        <f>F11+H11+J11+L11</f>
        <v>0</v>
      </c>
    </row>
    <row r="12" spans="1:256" ht="17.25" customHeight="1" x14ac:dyDescent="0.25">
      <c r="A12" s="42">
        <v>7</v>
      </c>
      <c r="B12" s="589" t="s">
        <v>348</v>
      </c>
      <c r="C12" s="684">
        <v>0</v>
      </c>
      <c r="D12" s="684"/>
      <c r="E12" s="684"/>
      <c r="F12" s="684">
        <v>-4107</v>
      </c>
      <c r="G12" s="685">
        <v>7111</v>
      </c>
      <c r="H12" s="685"/>
      <c r="I12" s="689"/>
      <c r="J12" s="689"/>
      <c r="K12" s="684">
        <v>-4348.49</v>
      </c>
      <c r="L12" s="684">
        <v>332208.28999999998</v>
      </c>
      <c r="M12" s="680">
        <f>C12+E12+G12+I12+K12</f>
        <v>2762.51</v>
      </c>
      <c r="N12" s="683">
        <f>D12+F12+H12+J12+L12</f>
        <v>328101.28999999998</v>
      </c>
    </row>
    <row r="13" spans="1:256" ht="18.75" x14ac:dyDescent="0.25">
      <c r="A13" s="42">
        <v>8</v>
      </c>
      <c r="B13" s="590" t="s">
        <v>100</v>
      </c>
      <c r="C13" s="686" t="s">
        <v>345</v>
      </c>
      <c r="D13" s="686" t="s">
        <v>345</v>
      </c>
      <c r="E13" s="686" t="s">
        <v>345</v>
      </c>
      <c r="F13" s="686" t="s">
        <v>345</v>
      </c>
      <c r="G13" s="685">
        <v>3593529</v>
      </c>
      <c r="H13" s="897">
        <v>3395338.1</v>
      </c>
      <c r="I13" s="690">
        <v>2733.57</v>
      </c>
      <c r="J13" s="690" t="s">
        <v>345</v>
      </c>
      <c r="K13" s="691" t="s">
        <v>345</v>
      </c>
      <c r="L13" s="691" t="s">
        <v>345</v>
      </c>
      <c r="M13" s="680">
        <f>G13</f>
        <v>3593529</v>
      </c>
      <c r="N13" s="683">
        <f>H13</f>
        <v>3395338.1</v>
      </c>
    </row>
    <row r="14" spans="1:256" ht="19.5" customHeight="1" x14ac:dyDescent="0.25">
      <c r="A14" s="42">
        <v>9</v>
      </c>
      <c r="B14" s="589" t="s">
        <v>27</v>
      </c>
      <c r="C14" s="686" t="s">
        <v>345</v>
      </c>
      <c r="D14" s="686" t="s">
        <v>345</v>
      </c>
      <c r="E14" s="686" t="s">
        <v>345</v>
      </c>
      <c r="F14" s="686" t="s">
        <v>345</v>
      </c>
      <c r="G14" s="685">
        <v>233815.64</v>
      </c>
      <c r="H14" s="685">
        <v>231899.73</v>
      </c>
      <c r="I14" s="692" t="s">
        <v>345</v>
      </c>
      <c r="J14" s="692" t="s">
        <v>345</v>
      </c>
      <c r="K14" s="691" t="s">
        <v>345</v>
      </c>
      <c r="L14" s="691" t="s">
        <v>345</v>
      </c>
      <c r="M14" s="680">
        <f>G14</f>
        <v>233815.64</v>
      </c>
      <c r="N14" s="683">
        <f>H14</f>
        <v>231899.73</v>
      </c>
    </row>
    <row r="15" spans="1:256" ht="18.75" x14ac:dyDescent="0.25">
      <c r="A15" s="42">
        <v>10</v>
      </c>
      <c r="B15" s="589" t="s">
        <v>101</v>
      </c>
      <c r="C15" s="684">
        <v>309983.26</v>
      </c>
      <c r="D15" s="684">
        <v>103838.49</v>
      </c>
      <c r="E15" s="684">
        <v>2460</v>
      </c>
      <c r="F15" s="684">
        <v>-3275.92</v>
      </c>
      <c r="G15" s="685">
        <v>30</v>
      </c>
      <c r="H15" s="685">
        <v>155571.37</v>
      </c>
      <c r="I15" s="689"/>
      <c r="J15" s="689"/>
      <c r="K15" s="684"/>
      <c r="L15" s="684"/>
      <c r="M15" s="680">
        <f>C15+E15+G15+I15+K15</f>
        <v>312473.26</v>
      </c>
      <c r="N15" s="683">
        <f>D15+F15+H15+J15+L15</f>
        <v>256133.94</v>
      </c>
    </row>
    <row r="16" spans="1:256" ht="31.5" x14ac:dyDescent="0.25">
      <c r="A16" s="42">
        <v>11</v>
      </c>
      <c r="B16" s="587" t="s">
        <v>225</v>
      </c>
      <c r="C16" s="679">
        <v>2399825.46</v>
      </c>
      <c r="D16" s="679">
        <v>2403353.5099999998</v>
      </c>
      <c r="E16" s="679">
        <v>2373857.59</v>
      </c>
      <c r="F16" s="679">
        <v>7466713.8300000001</v>
      </c>
      <c r="G16" s="685">
        <v>3815538.87</v>
      </c>
      <c r="H16" s="685">
        <v>3845610.1</v>
      </c>
      <c r="I16" s="679">
        <v>2733.57</v>
      </c>
      <c r="J16" s="679"/>
      <c r="K16" s="679">
        <v>-21824.05</v>
      </c>
      <c r="L16" s="679">
        <v>301410.33</v>
      </c>
      <c r="M16" s="680">
        <f t="shared" ref="M16:N18" si="2">C16+E16+G16+I16+K16</f>
        <v>8570131.4399999995</v>
      </c>
      <c r="N16" s="683">
        <f t="shared" si="2"/>
        <v>14017087.77</v>
      </c>
    </row>
    <row r="17" spans="1:14" ht="31.5" x14ac:dyDescent="0.25">
      <c r="A17" s="42">
        <v>12</v>
      </c>
      <c r="B17" s="587" t="s">
        <v>28</v>
      </c>
      <c r="C17" s="680">
        <f t="shared" ref="C17:L17" si="3">C6+C7-C16</f>
        <v>615626.54</v>
      </c>
      <c r="D17" s="680">
        <f t="shared" si="3"/>
        <v>773222.27000000048</v>
      </c>
      <c r="E17" s="680">
        <f t="shared" si="3"/>
        <v>21053468.050000001</v>
      </c>
      <c r="F17" s="680">
        <f t="shared" si="3"/>
        <v>16432053.160000002</v>
      </c>
      <c r="G17" s="682">
        <f t="shared" si="3"/>
        <v>855979.70000000019</v>
      </c>
      <c r="H17" s="682">
        <f t="shared" si="3"/>
        <v>793178.80000000028</v>
      </c>
      <c r="I17" s="680">
        <f t="shared" si="3"/>
        <v>685.95000000000027</v>
      </c>
      <c r="J17" s="680">
        <f t="shared" si="3"/>
        <v>685.95000000000027</v>
      </c>
      <c r="K17" s="680">
        <f t="shared" si="3"/>
        <v>510835.99</v>
      </c>
      <c r="L17" s="680">
        <f t="shared" si="3"/>
        <v>541633.94999999995</v>
      </c>
      <c r="M17" s="680">
        <f t="shared" si="2"/>
        <v>23036596.229999997</v>
      </c>
      <c r="N17" s="683">
        <f t="shared" si="2"/>
        <v>18540774.130000003</v>
      </c>
    </row>
    <row r="18" spans="1:14" ht="48.75" customHeight="1" thickBot="1" x14ac:dyDescent="0.3">
      <c r="A18" s="355">
        <v>13</v>
      </c>
      <c r="B18" s="591" t="s">
        <v>1375</v>
      </c>
      <c r="C18" s="693">
        <v>0</v>
      </c>
      <c r="D18" s="693">
        <v>0</v>
      </c>
      <c r="E18" s="693">
        <v>3615925.18</v>
      </c>
      <c r="F18" s="751">
        <v>911075.53</v>
      </c>
      <c r="G18" s="694">
        <v>0</v>
      </c>
      <c r="H18" s="694">
        <v>0</v>
      </c>
      <c r="I18" s="693">
        <v>0</v>
      </c>
      <c r="J18" s="693">
        <v>0</v>
      </c>
      <c r="K18" s="693">
        <v>0</v>
      </c>
      <c r="L18" s="693">
        <v>0</v>
      </c>
      <c r="M18" s="695">
        <f t="shared" si="2"/>
        <v>3615925.18</v>
      </c>
      <c r="N18" s="696">
        <f t="shared" si="2"/>
        <v>911075.53</v>
      </c>
    </row>
    <row r="19" spans="1:14" x14ac:dyDescent="0.25">
      <c r="G19" s="1110"/>
      <c r="H19" s="1110"/>
      <c r="I19" s="843"/>
      <c r="J19" s="357"/>
      <c r="K19" s="1111"/>
      <c r="L19" s="1111"/>
      <c r="M19" s="1111"/>
    </row>
    <row r="20" spans="1:14" x14ac:dyDescent="0.25">
      <c r="E20" s="842"/>
      <c r="F20" s="842"/>
      <c r="H20" s="842"/>
      <c r="I20" s="357"/>
      <c r="J20" s="357"/>
      <c r="K20" s="1111"/>
      <c r="L20" s="1111"/>
      <c r="M20" s="1111"/>
      <c r="N20" s="2"/>
    </row>
    <row r="21" spans="1:14" x14ac:dyDescent="0.25">
      <c r="E21" s="842"/>
      <c r="F21" s="842"/>
      <c r="H21" s="842"/>
      <c r="I21" s="357"/>
      <c r="J21" s="357"/>
      <c r="K21" s="898"/>
      <c r="L21" s="898"/>
      <c r="M21" s="899"/>
    </row>
    <row r="22" spans="1:14" ht="15.6" customHeight="1" x14ac:dyDescent="0.25">
      <c r="A22" s="357" t="s">
        <v>102</v>
      </c>
      <c r="B22" s="357"/>
      <c r="C22" s="357"/>
      <c r="E22" s="357"/>
      <c r="F22" s="761" t="s">
        <v>1487</v>
      </c>
      <c r="G22" s="762">
        <v>103818.15</v>
      </c>
      <c r="H22" s="1108"/>
      <c r="I22" s="1108"/>
      <c r="J22" s="1108"/>
      <c r="K22" s="1108"/>
      <c r="L22" s="1108"/>
      <c r="M22" s="357"/>
      <c r="N22" s="357"/>
    </row>
    <row r="23" spans="1:14" ht="34.35" customHeight="1" x14ac:dyDescent="0.25">
      <c r="A23" s="357" t="s">
        <v>103</v>
      </c>
      <c r="B23" s="357"/>
      <c r="C23" s="357"/>
      <c r="D23" s="357"/>
      <c r="E23" s="357"/>
      <c r="F23" s="842"/>
      <c r="G23" s="754"/>
      <c r="H23" s="1108"/>
      <c r="I23" s="1108"/>
      <c r="J23" s="1108"/>
      <c r="K23" s="1108"/>
      <c r="L23" s="1108"/>
      <c r="M23" s="357"/>
      <c r="N23" s="357"/>
    </row>
    <row r="24" spans="1:14" ht="33" customHeight="1" x14ac:dyDescent="0.25">
      <c r="A24" s="1093" t="s">
        <v>104</v>
      </c>
      <c r="B24" s="1093"/>
      <c r="C24" s="1093"/>
      <c r="D24" s="357"/>
      <c r="E24" s="843"/>
      <c r="F24" s="842"/>
      <c r="G24" s="754"/>
      <c r="M24" s="357"/>
      <c r="N24" s="357"/>
    </row>
    <row r="25" spans="1:14" x14ac:dyDescent="0.25">
      <c r="E25" s="842"/>
      <c r="F25" s="357"/>
      <c r="G25" s="755"/>
      <c r="H25" s="1107" t="s">
        <v>1488</v>
      </c>
      <c r="I25" s="1107"/>
      <c r="J25" s="756"/>
      <c r="K25" s="756"/>
      <c r="L25" s="756"/>
    </row>
    <row r="26" spans="1:14" ht="15.6" customHeight="1" x14ac:dyDescent="0.25">
      <c r="F26" s="757"/>
      <c r="G26" s="758"/>
      <c r="H26" s="1108"/>
      <c r="I26" s="1108"/>
      <c r="J26" s="1108"/>
      <c r="K26" s="1108"/>
      <c r="L26" s="1108"/>
    </row>
    <row r="27" spans="1:14" ht="24.6" customHeight="1" x14ac:dyDescent="0.25">
      <c r="D27" s="765"/>
      <c r="F27" s="759" t="s">
        <v>1489</v>
      </c>
      <c r="G27" s="760">
        <v>4039464.15</v>
      </c>
      <c r="H27" s="1108"/>
      <c r="I27" s="1108"/>
      <c r="J27" s="1108"/>
      <c r="K27" s="1108"/>
      <c r="L27" s="1108"/>
    </row>
    <row r="29" spans="1:14" x14ac:dyDescent="0.25">
      <c r="H29" s="842"/>
    </row>
    <row r="30" spans="1:14" x14ac:dyDescent="0.25">
      <c r="H30" s="842"/>
    </row>
  </sheetData>
  <mergeCells count="17">
    <mergeCell ref="H25:I25"/>
    <mergeCell ref="H26:L26"/>
    <mergeCell ref="H27:L27"/>
    <mergeCell ref="H22:L23"/>
    <mergeCell ref="M3:N3"/>
    <mergeCell ref="G19:H19"/>
    <mergeCell ref="K19:M20"/>
    <mergeCell ref="A24:C24"/>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enableFormatConditionsCalculation="0">
    <tabColor indexed="42"/>
    <pageSetUpPr fitToPage="1"/>
  </sheetPr>
  <dimension ref="A1:E26"/>
  <sheetViews>
    <sheetView zoomScale="85" zoomScaleNormal="85" workbookViewId="0">
      <pane xSplit="2" ySplit="4" topLeftCell="C20" activePane="bottomRight" state="frozen"/>
      <selection pane="topRight" activeCell="C1" sqref="C1"/>
      <selection pane="bottomLeft" activeCell="A5" sqref="A5"/>
      <selection pane="bottomRight" activeCell="E27" sqref="E27"/>
    </sheetView>
  </sheetViews>
  <sheetFormatPr defaultColWidth="9.140625" defaultRowHeight="15.75" x14ac:dyDescent="0.2"/>
  <cols>
    <col min="1" max="1" width="10.5703125" style="12" customWidth="1"/>
    <col min="2" max="2" width="43.140625" style="69" customWidth="1"/>
    <col min="3" max="3" width="28.42578125" style="732" customWidth="1"/>
    <col min="4" max="4" width="52.5703125" style="11" customWidth="1"/>
    <col min="5" max="5" width="14.42578125" style="11" customWidth="1"/>
    <col min="6" max="16384" width="9.140625" style="11"/>
  </cols>
  <sheetData>
    <row r="1" spans="1:5" ht="50.1" customHeight="1" thickBot="1" x14ac:dyDescent="0.25">
      <c r="A1" s="926" t="s">
        <v>1389</v>
      </c>
      <c r="B1" s="927"/>
      <c r="C1" s="927"/>
      <c r="D1" s="928"/>
    </row>
    <row r="2" spans="1:5" ht="35.1" customHeight="1" x14ac:dyDescent="0.2">
      <c r="A2" s="923" t="s">
        <v>430</v>
      </c>
      <c r="B2" s="924"/>
      <c r="C2" s="924"/>
      <c r="D2" s="925"/>
    </row>
    <row r="3" spans="1:5" ht="31.5" x14ac:dyDescent="0.2">
      <c r="A3" s="105" t="s">
        <v>228</v>
      </c>
      <c r="B3" s="93" t="s">
        <v>324</v>
      </c>
      <c r="C3" s="779" t="s">
        <v>1392</v>
      </c>
      <c r="D3" s="34" t="s">
        <v>954</v>
      </c>
    </row>
    <row r="4" spans="1:5" s="13" customFormat="1" ht="18" customHeight="1" x14ac:dyDescent="0.2">
      <c r="A4" s="101"/>
      <c r="B4" s="104" t="s">
        <v>314</v>
      </c>
      <c r="C4" s="780" t="s">
        <v>315</v>
      </c>
      <c r="D4" s="86" t="s">
        <v>316</v>
      </c>
    </row>
    <row r="5" spans="1:5" s="13" customFormat="1" ht="31.5" x14ac:dyDescent="0.2">
      <c r="A5" s="101">
        <v>1</v>
      </c>
      <c r="B5" s="67" t="s">
        <v>29</v>
      </c>
      <c r="C5" s="649">
        <f>SUM(C6:C19)</f>
        <v>26497737.939999998</v>
      </c>
      <c r="D5" s="66"/>
    </row>
    <row r="6" spans="1:5" x14ac:dyDescent="0.2">
      <c r="A6" s="101">
        <v>2</v>
      </c>
      <c r="B6" s="59" t="s">
        <v>214</v>
      </c>
      <c r="C6" s="647"/>
      <c r="D6" s="120"/>
    </row>
    <row r="7" spans="1:5" x14ac:dyDescent="0.2">
      <c r="A7" s="101">
        <v>3</v>
      </c>
      <c r="B7" s="59" t="s">
        <v>215</v>
      </c>
      <c r="C7" s="647">
        <v>10434795.65</v>
      </c>
      <c r="D7" s="731" t="s">
        <v>1474</v>
      </c>
      <c r="E7" s="732"/>
    </row>
    <row r="8" spans="1:5" x14ac:dyDescent="0.2">
      <c r="A8" s="101">
        <v>4</v>
      </c>
      <c r="B8" s="107" t="s">
        <v>216</v>
      </c>
      <c r="C8" s="647"/>
      <c r="D8" s="731"/>
    </row>
    <row r="9" spans="1:5" ht="31.5" x14ac:dyDescent="0.2">
      <c r="A9" s="101">
        <v>5</v>
      </c>
      <c r="B9" s="107" t="s">
        <v>187</v>
      </c>
      <c r="C9" s="647">
        <v>5488216.5499999998</v>
      </c>
      <c r="D9" s="731" t="s">
        <v>1475</v>
      </c>
    </row>
    <row r="10" spans="1:5" x14ac:dyDescent="0.2">
      <c r="A10" s="101">
        <v>6</v>
      </c>
      <c r="B10" s="107" t="s">
        <v>301</v>
      </c>
      <c r="C10" s="647">
        <v>1112459.47</v>
      </c>
      <c r="D10" s="731" t="s">
        <v>1476</v>
      </c>
    </row>
    <row r="11" spans="1:5" x14ac:dyDescent="0.2">
      <c r="A11" s="101">
        <v>7</v>
      </c>
      <c r="B11" s="107" t="s">
        <v>302</v>
      </c>
      <c r="C11" s="647">
        <v>224420</v>
      </c>
      <c r="D11" s="731" t="s">
        <v>1476</v>
      </c>
    </row>
    <row r="12" spans="1:5" ht="31.5" x14ac:dyDescent="0.2">
      <c r="A12" s="101">
        <v>8</v>
      </c>
      <c r="B12" s="107" t="s">
        <v>431</v>
      </c>
      <c r="C12" s="647">
        <v>3337966.68</v>
      </c>
      <c r="D12" s="731" t="s">
        <v>1477</v>
      </c>
    </row>
    <row r="13" spans="1:5" x14ac:dyDescent="0.2">
      <c r="A13" s="101">
        <v>9</v>
      </c>
      <c r="B13" s="107" t="s">
        <v>188</v>
      </c>
      <c r="C13" s="647"/>
      <c r="D13" s="731"/>
    </row>
    <row r="14" spans="1:5" x14ac:dyDescent="0.2">
      <c r="A14" s="101">
        <v>10</v>
      </c>
      <c r="B14" s="107" t="s">
        <v>189</v>
      </c>
      <c r="C14" s="647"/>
      <c r="D14" s="731"/>
    </row>
    <row r="15" spans="1:5" ht="63.75" x14ac:dyDescent="0.2">
      <c r="A15" s="101">
        <v>11</v>
      </c>
      <c r="B15" s="107" t="s">
        <v>190</v>
      </c>
      <c r="C15" s="647">
        <v>4570872.24</v>
      </c>
      <c r="D15" s="731" t="s">
        <v>1478</v>
      </c>
    </row>
    <row r="16" spans="1:5" x14ac:dyDescent="0.2">
      <c r="A16" s="101">
        <v>12</v>
      </c>
      <c r="B16" s="107" t="s">
        <v>191</v>
      </c>
      <c r="C16" s="647">
        <v>126621.03</v>
      </c>
      <c r="D16" s="731"/>
    </row>
    <row r="17" spans="1:4" x14ac:dyDescent="0.2">
      <c r="A17" s="101">
        <v>13</v>
      </c>
      <c r="B17" s="107" t="s">
        <v>192</v>
      </c>
      <c r="C17" s="647">
        <v>911075.53</v>
      </c>
      <c r="D17" s="731" t="s">
        <v>1479</v>
      </c>
    </row>
    <row r="18" spans="1:4" x14ac:dyDescent="0.2">
      <c r="A18" s="101">
        <v>14</v>
      </c>
      <c r="B18" s="107" t="s">
        <v>193</v>
      </c>
      <c r="C18" s="647">
        <v>145030.84</v>
      </c>
      <c r="D18" s="731" t="s">
        <v>1481</v>
      </c>
    </row>
    <row r="19" spans="1:4" ht="31.5" x14ac:dyDescent="0.2">
      <c r="A19" s="101">
        <v>15</v>
      </c>
      <c r="B19" s="107" t="s">
        <v>198</v>
      </c>
      <c r="C19" s="647">
        <v>146279.95000000001</v>
      </c>
      <c r="D19" s="731" t="s">
        <v>1480</v>
      </c>
    </row>
    <row r="20" spans="1:4" x14ac:dyDescent="0.2">
      <c r="A20" s="101">
        <v>16</v>
      </c>
      <c r="B20" s="67" t="s">
        <v>338</v>
      </c>
      <c r="C20" s="647"/>
      <c r="D20" s="120"/>
    </row>
    <row r="21" spans="1:4" ht="47.25" x14ac:dyDescent="0.2">
      <c r="A21" s="101">
        <v>17</v>
      </c>
      <c r="B21" s="106" t="s">
        <v>893</v>
      </c>
      <c r="C21" s="781">
        <v>973.64</v>
      </c>
      <c r="D21" s="137" t="s">
        <v>1521</v>
      </c>
    </row>
    <row r="22" spans="1:4" ht="32.25" thickBot="1" x14ac:dyDescent="0.25">
      <c r="A22" s="102">
        <v>18</v>
      </c>
      <c r="B22" s="79" t="s">
        <v>63</v>
      </c>
      <c r="C22" s="658">
        <f>+C5+C20+C21</f>
        <v>26498711.579999998</v>
      </c>
      <c r="D22" s="76"/>
    </row>
    <row r="25" spans="1:4" x14ac:dyDescent="0.2">
      <c r="D25" s="35"/>
    </row>
    <row r="26" spans="1:4" x14ac:dyDescent="0.25">
      <c r="D26" s="2"/>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8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3"/>
  <sheetViews>
    <sheetView zoomScale="70" zoomScaleNormal="70" workbookViewId="0">
      <pane xSplit="2" ySplit="5" topLeftCell="C6" activePane="bottomRight" state="frozen"/>
      <selection pane="topRight" activeCell="C1" sqref="C1"/>
      <selection pane="bottomLeft" activeCell="A6" sqref="A6"/>
      <selection pane="bottomRight" activeCell="K19" sqref="K18:K19"/>
    </sheetView>
  </sheetViews>
  <sheetFormatPr defaultColWidth="9.140625" defaultRowHeight="15.75" x14ac:dyDescent="0.2"/>
  <cols>
    <col min="1" max="1" width="7.5703125" style="20" customWidth="1"/>
    <col min="2" max="2" width="47.5703125" style="21" customWidth="1"/>
    <col min="3" max="3" width="17.85546875" style="22" customWidth="1"/>
    <col min="4" max="4" width="16.85546875" style="22" customWidth="1"/>
    <col min="5" max="5" width="17.140625" style="22" customWidth="1"/>
    <col min="6" max="6" width="18.140625" style="22" customWidth="1"/>
    <col min="7" max="7" width="17.42578125" style="22" customWidth="1"/>
    <col min="8" max="8" width="17" style="22" customWidth="1"/>
    <col min="9" max="16384" width="9.140625" style="22"/>
  </cols>
  <sheetData>
    <row r="1" spans="1:8" s="25" customFormat="1" ht="69" customHeight="1" thickBot="1" x14ac:dyDescent="0.25">
      <c r="A1" s="1112" t="s">
        <v>1388</v>
      </c>
      <c r="B1" s="1113"/>
      <c r="C1" s="1113"/>
      <c r="D1" s="1113"/>
      <c r="E1" s="1113"/>
      <c r="F1" s="1113"/>
      <c r="G1" s="1113"/>
      <c r="H1" s="1114"/>
    </row>
    <row r="2" spans="1:8" s="25" customFormat="1" ht="35.1" customHeight="1" x14ac:dyDescent="0.2">
      <c r="A2" s="969" t="s">
        <v>427</v>
      </c>
      <c r="B2" s="970"/>
      <c r="C2" s="970"/>
      <c r="D2" s="970"/>
      <c r="E2" s="970"/>
      <c r="F2" s="970"/>
      <c r="G2" s="970"/>
      <c r="H2" s="971"/>
    </row>
    <row r="3" spans="1:8" ht="27" customHeight="1" x14ac:dyDescent="0.2">
      <c r="A3" s="1045" t="s">
        <v>228</v>
      </c>
      <c r="B3" s="940" t="s">
        <v>359</v>
      </c>
      <c r="C3" s="989" t="s">
        <v>332</v>
      </c>
      <c r="D3" s="989"/>
      <c r="E3" s="989" t="s">
        <v>333</v>
      </c>
      <c r="F3" s="989"/>
      <c r="G3" s="1115" t="s">
        <v>251</v>
      </c>
      <c r="H3" s="1116"/>
    </row>
    <row r="4" spans="1:8" ht="33" customHeight="1" x14ac:dyDescent="0.2">
      <c r="A4" s="938"/>
      <c r="B4" s="995"/>
      <c r="C4" s="14" t="s">
        <v>84</v>
      </c>
      <c r="D4" s="14" t="s">
        <v>217</v>
      </c>
      <c r="E4" s="14" t="s">
        <v>84</v>
      </c>
      <c r="F4" s="14" t="s">
        <v>217</v>
      </c>
      <c r="G4" s="14" t="s">
        <v>84</v>
      </c>
      <c r="H4" s="28" t="s">
        <v>217</v>
      </c>
    </row>
    <row r="5" spans="1:8" ht="21.6" customHeight="1" x14ac:dyDescent="0.2">
      <c r="A5" s="29"/>
      <c r="B5" s="17"/>
      <c r="C5" s="43" t="s">
        <v>314</v>
      </c>
      <c r="D5" s="43" t="s">
        <v>315</v>
      </c>
      <c r="E5" s="43" t="s">
        <v>316</v>
      </c>
      <c r="F5" s="43" t="s">
        <v>323</v>
      </c>
      <c r="G5" s="43" t="s">
        <v>36</v>
      </c>
      <c r="H5" s="372" t="s">
        <v>37</v>
      </c>
    </row>
    <row r="6" spans="1:8" ht="19.5" customHeight="1" x14ac:dyDescent="0.2">
      <c r="A6" s="373">
        <v>1</v>
      </c>
      <c r="B6" s="311" t="s">
        <v>1159</v>
      </c>
      <c r="C6" s="312">
        <f>C7</f>
        <v>4356584.63</v>
      </c>
      <c r="D6" s="312">
        <f>D8</f>
        <v>566371.32000000007</v>
      </c>
      <c r="E6" s="312">
        <f>E7</f>
        <v>64361183.189999998</v>
      </c>
      <c r="F6" s="312">
        <f>F8</f>
        <v>7845175.25</v>
      </c>
      <c r="G6" s="312">
        <f>C6+E6</f>
        <v>68717767.819999993</v>
      </c>
      <c r="H6" s="374">
        <f>D6+F6</f>
        <v>8411546.5700000003</v>
      </c>
    </row>
    <row r="7" spans="1:8" ht="19.5" customHeight="1" x14ac:dyDescent="0.2">
      <c r="A7" s="373">
        <v>2</v>
      </c>
      <c r="B7" s="420" t="s">
        <v>1160</v>
      </c>
      <c r="C7" s="313">
        <f>1898293.85+2458290.78</f>
        <v>4356584.63</v>
      </c>
      <c r="D7" s="421" t="s">
        <v>1015</v>
      </c>
      <c r="E7" s="313">
        <f>28740479.32+35620703.87</f>
        <v>64361183.189999998</v>
      </c>
      <c r="F7" s="421" t="s">
        <v>1015</v>
      </c>
      <c r="G7" s="312">
        <f t="shared" ref="G7:G16" si="0">C7+E7</f>
        <v>68717767.819999993</v>
      </c>
      <c r="H7" s="423" t="s">
        <v>1015</v>
      </c>
    </row>
    <row r="8" spans="1:8" ht="19.5" customHeight="1" x14ac:dyDescent="0.2">
      <c r="A8" s="373">
        <f t="shared" ref="A8:A14" si="1">A7+1</f>
        <v>3</v>
      </c>
      <c r="B8" s="420" t="s">
        <v>1161</v>
      </c>
      <c r="C8" s="421" t="s">
        <v>1015</v>
      </c>
      <c r="D8" s="313">
        <f>437797.28+128574.04</f>
        <v>566371.32000000007</v>
      </c>
      <c r="E8" s="421" t="s">
        <v>1015</v>
      </c>
      <c r="F8" s="313">
        <f>4674468.88+3170706.37</f>
        <v>7845175.25</v>
      </c>
      <c r="G8" s="422" t="s">
        <v>1015</v>
      </c>
      <c r="H8" s="374">
        <f t="shared" ref="H8:H16" si="2">D8+F8</f>
        <v>8411546.5700000003</v>
      </c>
    </row>
    <row r="9" spans="1:8" ht="19.5" customHeight="1" x14ac:dyDescent="0.2">
      <c r="A9" s="373">
        <f t="shared" si="1"/>
        <v>4</v>
      </c>
      <c r="B9" s="311" t="s">
        <v>1162</v>
      </c>
      <c r="C9" s="312">
        <f>SUM(C10:C11)</f>
        <v>1913432.7799999998</v>
      </c>
      <c r="D9" s="312">
        <f>SUM(D10:D11)</f>
        <v>225110.16</v>
      </c>
      <c r="E9" s="312">
        <f>SUM(E10:E11)</f>
        <v>0</v>
      </c>
      <c r="F9" s="312">
        <f>SUM(F10:F11)</f>
        <v>0</v>
      </c>
      <c r="G9" s="312">
        <f t="shared" si="0"/>
        <v>1913432.7799999998</v>
      </c>
      <c r="H9" s="374">
        <f t="shared" si="2"/>
        <v>225110.16</v>
      </c>
    </row>
    <row r="10" spans="1:8" ht="19.5" customHeight="1" x14ac:dyDescent="0.2">
      <c r="A10" s="373">
        <f t="shared" si="1"/>
        <v>5</v>
      </c>
      <c r="B10" s="420" t="s">
        <v>1163</v>
      </c>
      <c r="C10" s="313">
        <f>467583.62+1445849.16</f>
        <v>1913432.7799999998</v>
      </c>
      <c r="D10" s="421" t="s">
        <v>1015</v>
      </c>
      <c r="E10" s="313"/>
      <c r="F10" s="421" t="s">
        <v>1015</v>
      </c>
      <c r="G10" s="312">
        <f t="shared" si="0"/>
        <v>1913432.7799999998</v>
      </c>
      <c r="H10" s="423" t="s">
        <v>1015</v>
      </c>
    </row>
    <row r="11" spans="1:8" ht="19.5" customHeight="1" x14ac:dyDescent="0.2">
      <c r="A11" s="373">
        <f t="shared" si="1"/>
        <v>6</v>
      </c>
      <c r="B11" s="420" t="s">
        <v>1164</v>
      </c>
      <c r="C11" s="421" t="s">
        <v>1015</v>
      </c>
      <c r="D11" s="313">
        <f>192700.25+32409.91</f>
        <v>225110.16</v>
      </c>
      <c r="E11" s="421" t="s">
        <v>1015</v>
      </c>
      <c r="F11" s="313"/>
      <c r="G11" s="422" t="s">
        <v>1015</v>
      </c>
      <c r="H11" s="374">
        <f t="shared" si="2"/>
        <v>225110.16</v>
      </c>
    </row>
    <row r="12" spans="1:8" ht="31.5" x14ac:dyDescent="0.2">
      <c r="A12" s="373">
        <f t="shared" si="1"/>
        <v>7</v>
      </c>
      <c r="B12" s="311" t="s">
        <v>1019</v>
      </c>
      <c r="C12" s="312">
        <f t="shared" ref="C12:H12" si="3">C6+C9</f>
        <v>6270017.4100000001</v>
      </c>
      <c r="D12" s="312">
        <f t="shared" si="3"/>
        <v>791481.4800000001</v>
      </c>
      <c r="E12" s="312">
        <f t="shared" si="3"/>
        <v>64361183.189999998</v>
      </c>
      <c r="F12" s="312">
        <f t="shared" si="3"/>
        <v>7845175.25</v>
      </c>
      <c r="G12" s="312">
        <f t="shared" si="3"/>
        <v>70631200.599999994</v>
      </c>
      <c r="H12" s="374">
        <f t="shared" si="3"/>
        <v>8636656.7300000004</v>
      </c>
    </row>
    <row r="13" spans="1:8" ht="26.25" customHeight="1" x14ac:dyDescent="0.2">
      <c r="A13" s="373">
        <f t="shared" si="1"/>
        <v>8</v>
      </c>
      <c r="B13" s="311" t="s">
        <v>1021</v>
      </c>
      <c r="C13" s="312">
        <f>SUM(C14:C15)</f>
        <v>0</v>
      </c>
      <c r="D13" s="312">
        <f>SUM(D14:D15)</f>
        <v>0</v>
      </c>
      <c r="E13" s="312">
        <f>SUM(E14:E15)</f>
        <v>0</v>
      </c>
      <c r="F13" s="312">
        <f>SUM(F14:F15)</f>
        <v>0</v>
      </c>
      <c r="G13" s="312">
        <f t="shared" si="0"/>
        <v>0</v>
      </c>
      <c r="H13" s="374">
        <f t="shared" si="2"/>
        <v>0</v>
      </c>
    </row>
    <row r="14" spans="1:8" ht="24" customHeight="1" x14ac:dyDescent="0.2">
      <c r="A14" s="373">
        <f t="shared" si="1"/>
        <v>9</v>
      </c>
      <c r="B14" s="314"/>
      <c r="C14" s="315"/>
      <c r="D14" s="315"/>
      <c r="E14" s="315"/>
      <c r="F14" s="315"/>
      <c r="G14" s="312">
        <f t="shared" si="0"/>
        <v>0</v>
      </c>
      <c r="H14" s="374">
        <f t="shared" si="2"/>
        <v>0</v>
      </c>
    </row>
    <row r="15" spans="1:8" ht="24.75" customHeight="1" x14ac:dyDescent="0.2">
      <c r="A15" s="373" t="s">
        <v>1020</v>
      </c>
      <c r="B15" s="316"/>
      <c r="C15" s="315"/>
      <c r="D15" s="315"/>
      <c r="E15" s="315"/>
      <c r="F15" s="315"/>
      <c r="G15" s="312">
        <f t="shared" si="0"/>
        <v>0</v>
      </c>
      <c r="H15" s="374">
        <f t="shared" si="2"/>
        <v>0</v>
      </c>
    </row>
    <row r="16" spans="1:8" ht="23.25" customHeight="1" thickBot="1" x14ac:dyDescent="0.25">
      <c r="A16" s="375">
        <v>10</v>
      </c>
      <c r="B16" s="413" t="s">
        <v>1022</v>
      </c>
      <c r="C16" s="376">
        <f>C12+C13</f>
        <v>6270017.4100000001</v>
      </c>
      <c r="D16" s="376">
        <f>D12+D13</f>
        <v>791481.4800000001</v>
      </c>
      <c r="E16" s="376">
        <f>E12+E13</f>
        <v>64361183.189999998</v>
      </c>
      <c r="F16" s="376">
        <f>F12+F13</f>
        <v>7845175.25</v>
      </c>
      <c r="G16" s="377">
        <f t="shared" si="0"/>
        <v>70631200.599999994</v>
      </c>
      <c r="H16" s="378">
        <f t="shared" si="2"/>
        <v>8636656.7300000004</v>
      </c>
    </row>
    <row r="17" spans="1:1" s="788" customFormat="1" x14ac:dyDescent="0.2">
      <c r="A17" s="800"/>
    </row>
    <row r="18" spans="1:1" s="788" customFormat="1" x14ac:dyDescent="0.2">
      <c r="A18" s="800"/>
    </row>
    <row r="19" spans="1:1" s="788" customFormat="1" x14ac:dyDescent="0.2">
      <c r="A19" s="800"/>
    </row>
    <row r="20" spans="1:1" s="788" customFormat="1" x14ac:dyDescent="0.2">
      <c r="A20" s="800"/>
    </row>
    <row r="21" spans="1:1" s="788" customFormat="1" x14ac:dyDescent="0.2">
      <c r="A21" s="800"/>
    </row>
    <row r="22" spans="1:1" s="788" customFormat="1" x14ac:dyDescent="0.2">
      <c r="A22" s="800"/>
    </row>
    <row r="23" spans="1:1" s="788" customFormat="1" x14ac:dyDescent="0.2">
      <c r="A23" s="800"/>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enableFormatConditionsCalculation="0">
    <tabColor indexed="42"/>
    <pageSetUpPr fitToPage="1"/>
  </sheetPr>
  <dimension ref="A1:H24"/>
  <sheetViews>
    <sheetView zoomScale="70" zoomScaleNormal="70" workbookViewId="0">
      <pane xSplit="2" ySplit="4" topLeftCell="C5" activePane="bottomRight" state="frozen"/>
      <selection pane="topRight" activeCell="C1" sqref="C1"/>
      <selection pane="bottomLeft" activeCell="A5" sqref="A5"/>
      <selection pane="bottomRight" activeCell="H13" sqref="H13"/>
    </sheetView>
  </sheetViews>
  <sheetFormatPr defaultColWidth="9.140625" defaultRowHeight="15.75" x14ac:dyDescent="0.25"/>
  <cols>
    <col min="1" max="1" width="9.5703125" style="3" customWidth="1"/>
    <col min="2" max="2" width="58.42578125" style="1" customWidth="1"/>
    <col min="3" max="3" width="22.140625" style="778" customWidth="1"/>
    <col min="4" max="4" width="21.140625" style="778" customWidth="1"/>
    <col min="5" max="5" width="24.140625" style="778" customWidth="1"/>
    <col min="6" max="16384" width="9.140625" style="1"/>
  </cols>
  <sheetData>
    <row r="1" spans="1:8" ht="80.25" customHeight="1" thickBot="1" x14ac:dyDescent="0.3">
      <c r="A1" s="1117" t="s">
        <v>1254</v>
      </c>
      <c r="B1" s="1118"/>
      <c r="C1" s="1118"/>
      <c r="D1" s="1118"/>
      <c r="E1" s="1119"/>
      <c r="F1" s="7"/>
    </row>
    <row r="2" spans="1:8" ht="35.1" customHeight="1" x14ac:dyDescent="0.25">
      <c r="A2" s="923" t="s">
        <v>427</v>
      </c>
      <c r="B2" s="924"/>
      <c r="C2" s="924"/>
      <c r="D2" s="924"/>
      <c r="E2" s="925"/>
      <c r="F2" s="7"/>
    </row>
    <row r="3" spans="1:8" s="10" customFormat="1" ht="47.1" customHeight="1" x14ac:dyDescent="0.25">
      <c r="A3" s="553" t="s">
        <v>228</v>
      </c>
      <c r="B3" s="555" t="s">
        <v>359</v>
      </c>
      <c r="C3" s="782" t="s">
        <v>332</v>
      </c>
      <c r="D3" s="782" t="s">
        <v>333</v>
      </c>
      <c r="E3" s="783" t="s">
        <v>236</v>
      </c>
    </row>
    <row r="4" spans="1:8" s="10" customFormat="1" ht="16.5" customHeight="1" x14ac:dyDescent="0.25">
      <c r="A4" s="553"/>
      <c r="B4" s="555"/>
      <c r="C4" s="782" t="s">
        <v>314</v>
      </c>
      <c r="D4" s="782" t="s">
        <v>315</v>
      </c>
      <c r="E4" s="783" t="s">
        <v>33</v>
      </c>
    </row>
    <row r="5" spans="1:8" s="10" customFormat="1" ht="17.45" customHeight="1" x14ac:dyDescent="0.25">
      <c r="A5" s="553"/>
      <c r="B5" s="158" t="s">
        <v>405</v>
      </c>
      <c r="C5" s="784"/>
      <c r="D5" s="784"/>
      <c r="E5" s="785"/>
    </row>
    <row r="6" spans="1:8" s="10" customFormat="1" ht="17.45" customHeight="1" x14ac:dyDescent="0.25">
      <c r="A6" s="127">
        <v>1</v>
      </c>
      <c r="B6" s="103" t="s">
        <v>438</v>
      </c>
      <c r="C6" s="645">
        <f>SUM(C7:C10)</f>
        <v>3394754</v>
      </c>
      <c r="D6" s="645">
        <f>SUM(D7:D10)</f>
        <v>0</v>
      </c>
      <c r="E6" s="676">
        <f>C6+D6</f>
        <v>3394754</v>
      </c>
    </row>
    <row r="7" spans="1:8" s="19" customFormat="1" x14ac:dyDescent="0.2">
      <c r="A7" s="30">
        <f>A6+1</f>
        <v>2</v>
      </c>
      <c r="B7" s="124" t="s">
        <v>156</v>
      </c>
      <c r="C7" s="646">
        <v>3038954</v>
      </c>
      <c r="D7" s="647">
        <v>0</v>
      </c>
      <c r="E7" s="676">
        <f>C7+D7</f>
        <v>3038954</v>
      </c>
    </row>
    <row r="8" spans="1:8" s="19" customFormat="1" x14ac:dyDescent="0.2">
      <c r="A8" s="30">
        <f>A7+1</f>
        <v>3</v>
      </c>
      <c r="B8" s="124" t="s">
        <v>435</v>
      </c>
      <c r="C8" s="646">
        <v>355800</v>
      </c>
      <c r="D8" s="646">
        <v>0</v>
      </c>
      <c r="E8" s="676">
        <f t="shared" ref="E8:E16" si="0">C8+D8</f>
        <v>355800</v>
      </c>
      <c r="F8" s="559"/>
    </row>
    <row r="9" spans="1:8" s="19" customFormat="1" x14ac:dyDescent="0.2">
      <c r="A9" s="30">
        <f>A8+1</f>
        <v>4</v>
      </c>
      <c r="B9" s="124"/>
      <c r="C9" s="646"/>
      <c r="D9" s="646"/>
      <c r="E9" s="676"/>
    </row>
    <row r="10" spans="1:8" s="19" customFormat="1" x14ac:dyDescent="0.2">
      <c r="A10" s="30">
        <f>A9+1</f>
        <v>5</v>
      </c>
      <c r="B10" s="124"/>
      <c r="C10" s="646"/>
      <c r="D10" s="646"/>
      <c r="E10" s="676">
        <f t="shared" si="0"/>
        <v>0</v>
      </c>
    </row>
    <row r="11" spans="1:8" s="19" customFormat="1" x14ac:dyDescent="0.2">
      <c r="A11" s="42"/>
      <c r="B11" s="158" t="s">
        <v>892</v>
      </c>
      <c r="C11" s="784"/>
      <c r="D11" s="784"/>
      <c r="E11" s="785"/>
    </row>
    <row r="12" spans="1:8" x14ac:dyDescent="0.25">
      <c r="A12" s="42">
        <v>6</v>
      </c>
      <c r="B12" s="124" t="s">
        <v>19</v>
      </c>
      <c r="C12" s="697">
        <v>294349.45</v>
      </c>
      <c r="D12" s="697">
        <v>0</v>
      </c>
      <c r="E12" s="676">
        <f t="shared" si="0"/>
        <v>294349.45</v>
      </c>
    </row>
    <row r="13" spans="1:8" x14ac:dyDescent="0.25">
      <c r="A13" s="42">
        <v>7</v>
      </c>
      <c r="B13" s="124" t="s">
        <v>20</v>
      </c>
      <c r="C13" s="646">
        <v>9131.2799999999988</v>
      </c>
      <c r="D13" s="646">
        <v>0</v>
      </c>
      <c r="E13" s="676">
        <f t="shared" si="0"/>
        <v>9131.2799999999988</v>
      </c>
    </row>
    <row r="14" spans="1:8" s="44" customFormat="1" x14ac:dyDescent="0.25">
      <c r="A14" s="42"/>
      <c r="B14" s="78"/>
      <c r="C14" s="786"/>
      <c r="D14" s="786"/>
      <c r="E14" s="785"/>
    </row>
    <row r="15" spans="1:8" x14ac:dyDescent="0.25">
      <c r="A15" s="42">
        <v>8</v>
      </c>
      <c r="B15" s="78" t="s">
        <v>439</v>
      </c>
      <c r="C15" s="787">
        <f>SUM(C16:C17)</f>
        <v>0</v>
      </c>
      <c r="D15" s="787">
        <f>SUM(D16:D17)</f>
        <v>0</v>
      </c>
      <c r="E15" s="676">
        <f t="shared" si="0"/>
        <v>0</v>
      </c>
    </row>
    <row r="16" spans="1:8" ht="31.5" x14ac:dyDescent="0.25">
      <c r="A16" s="42" t="s">
        <v>437</v>
      </c>
      <c r="B16" s="433" t="s">
        <v>1079</v>
      </c>
      <c r="C16" s="697">
        <v>0</v>
      </c>
      <c r="D16" s="697">
        <v>0</v>
      </c>
      <c r="E16" s="676">
        <f t="shared" si="0"/>
        <v>0</v>
      </c>
      <c r="H16" s="558"/>
    </row>
    <row r="17" spans="1:5" x14ac:dyDescent="0.25">
      <c r="A17" s="42"/>
      <c r="B17" s="78"/>
      <c r="C17" s="786"/>
      <c r="D17" s="786"/>
      <c r="E17" s="785"/>
    </row>
    <row r="18" spans="1:5" ht="16.5" thickBot="1" x14ac:dyDescent="0.3">
      <c r="A18" s="130">
        <v>9</v>
      </c>
      <c r="B18" s="131" t="s">
        <v>845</v>
      </c>
      <c r="C18" s="658">
        <f>C6+C12+C13+C15</f>
        <v>3698234.73</v>
      </c>
      <c r="D18" s="658">
        <f>D6+D12+D13+D15</f>
        <v>0</v>
      </c>
      <c r="E18" s="773">
        <f>E6+E12+E13+E15</f>
        <v>3698234.73</v>
      </c>
    </row>
    <row r="19" spans="1:5" x14ac:dyDescent="0.25">
      <c r="E19" s="788"/>
    </row>
    <row r="21" spans="1:5" x14ac:dyDescent="0.25">
      <c r="B21" s="305"/>
      <c r="C21" s="789"/>
    </row>
    <row r="22" spans="1:5" x14ac:dyDescent="0.25">
      <c r="B22" s="3"/>
      <c r="C22" s="789"/>
    </row>
    <row r="23" spans="1:5" x14ac:dyDescent="0.25">
      <c r="B23" s="3"/>
      <c r="C23" s="789"/>
    </row>
    <row r="24" spans="1:5" x14ac:dyDescent="0.25">
      <c r="D24" s="790"/>
    </row>
  </sheetData>
  <protectedRanges>
    <protectedRange sqref="C8:D10" name="Rozsah2_1"/>
    <protectedRange sqref="C11:D11" name="Rozsah2_2"/>
  </protectedRanges>
  <mergeCells count="2">
    <mergeCell ref="A1:E1"/>
    <mergeCell ref="A2:E2"/>
  </mergeCells>
  <phoneticPr fontId="8" type="noConversion"/>
  <pageMargins left="0.79" right="0.74803149606299213" top="0.98425196850393704" bottom="0.77" header="0.51181102362204722" footer="0.51181102362204722"/>
  <pageSetup paperSize="9" scale="9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23"/>
  <sheetViews>
    <sheetView zoomScale="70" zoomScaleNormal="70" workbookViewId="0">
      <pane xSplit="2" ySplit="5" topLeftCell="C9" activePane="bottomRight" state="frozen"/>
      <selection pane="topRight" activeCell="C1" sqref="C1"/>
      <selection pane="bottomLeft" activeCell="A6" sqref="A6"/>
      <selection pane="bottomRight" activeCell="H12" sqref="H12"/>
    </sheetView>
  </sheetViews>
  <sheetFormatPr defaultColWidth="9.140625" defaultRowHeight="15.75" x14ac:dyDescent="0.2"/>
  <cols>
    <col min="1" max="1" width="9.140625" style="19"/>
    <col min="2" max="2" width="75.42578125" style="70" customWidth="1"/>
    <col min="3" max="6" width="17.42578125" style="19" customWidth="1"/>
    <col min="7" max="16384" width="9.140625" style="19"/>
  </cols>
  <sheetData>
    <row r="1" spans="1:8" ht="35.1" customHeight="1" thickBot="1" x14ac:dyDescent="0.25">
      <c r="A1" s="920" t="s">
        <v>1397</v>
      </c>
      <c r="B1" s="1120"/>
      <c r="C1" s="1120"/>
      <c r="D1" s="1120"/>
      <c r="E1" s="1120"/>
      <c r="F1" s="1121"/>
    </row>
    <row r="2" spans="1:8" ht="35.1" customHeight="1" x14ac:dyDescent="0.2">
      <c r="A2" s="969" t="s">
        <v>427</v>
      </c>
      <c r="B2" s="1046"/>
      <c r="C2" s="1123" t="s">
        <v>1384</v>
      </c>
      <c r="D2" s="1123"/>
      <c r="E2" s="1123"/>
      <c r="F2" s="1124"/>
    </row>
    <row r="3" spans="1:8" ht="23.1" customHeight="1" x14ac:dyDescent="0.2">
      <c r="A3" s="938" t="s">
        <v>228</v>
      </c>
      <c r="B3" s="995" t="s">
        <v>359</v>
      </c>
      <c r="C3" s="994">
        <v>2014</v>
      </c>
      <c r="D3" s="994"/>
      <c r="E3" s="994">
        <v>2015</v>
      </c>
      <c r="F3" s="1056"/>
    </row>
    <row r="4" spans="1:8" ht="75" customHeight="1" x14ac:dyDescent="0.2">
      <c r="A4" s="938"/>
      <c r="B4" s="995"/>
      <c r="C4" s="850" t="s">
        <v>41</v>
      </c>
      <c r="D4" s="850" t="s">
        <v>218</v>
      </c>
      <c r="E4" s="850" t="s">
        <v>41</v>
      </c>
      <c r="F4" s="852" t="s">
        <v>219</v>
      </c>
    </row>
    <row r="5" spans="1:8" x14ac:dyDescent="0.2">
      <c r="A5" s="30"/>
      <c r="B5" s="92"/>
      <c r="C5" s="40" t="s">
        <v>314</v>
      </c>
      <c r="D5" s="40" t="s">
        <v>315</v>
      </c>
      <c r="E5" s="40" t="s">
        <v>316</v>
      </c>
      <c r="F5" s="41" t="s">
        <v>323</v>
      </c>
    </row>
    <row r="6" spans="1:8" ht="31.5" x14ac:dyDescent="0.2">
      <c r="A6" s="30">
        <v>1</v>
      </c>
      <c r="B6" s="62" t="s">
        <v>878</v>
      </c>
      <c r="C6" s="649">
        <f>C7+C10+C13+C16</f>
        <v>218074.77</v>
      </c>
      <c r="D6" s="649">
        <f>D7+D10+D13+D16</f>
        <v>917</v>
      </c>
      <c r="E6" s="901">
        <f>E7+E10+E13+E16</f>
        <v>322870.96000000002</v>
      </c>
      <c r="F6" s="900">
        <f>F7+F10+F13+F16</f>
        <v>1379</v>
      </c>
      <c r="G6" s="1122"/>
      <c r="H6" s="1122"/>
    </row>
    <row r="7" spans="1:8" x14ac:dyDescent="0.2">
      <c r="A7" s="30">
        <v>2</v>
      </c>
      <c r="B7" s="62" t="s">
        <v>132</v>
      </c>
      <c r="C7" s="649">
        <f>SUM(C8:C9)</f>
        <v>31842.77</v>
      </c>
      <c r="D7" s="649">
        <f>SUM(D8:D9)</f>
        <v>157</v>
      </c>
      <c r="E7" s="649">
        <f>SUM(E8:E9)</f>
        <v>98838.98</v>
      </c>
      <c r="F7" s="670">
        <f>SUM(F8:F9)</f>
        <v>489</v>
      </c>
    </row>
    <row r="8" spans="1:8" x14ac:dyDescent="0.2">
      <c r="A8" s="30">
        <v>3</v>
      </c>
      <c r="B8" s="26" t="s">
        <v>64</v>
      </c>
      <c r="C8" s="646">
        <v>31842.77</v>
      </c>
      <c r="D8" s="646">
        <v>157</v>
      </c>
      <c r="E8" s="646">
        <v>98838.98</v>
      </c>
      <c r="F8" s="671">
        <v>489</v>
      </c>
    </row>
    <row r="9" spans="1:8" ht="18.75" x14ac:dyDescent="0.2">
      <c r="A9" s="30">
        <v>4</v>
      </c>
      <c r="B9" s="26" t="s">
        <v>159</v>
      </c>
      <c r="C9" s="646"/>
      <c r="D9" s="646"/>
      <c r="E9" s="646"/>
      <c r="F9" s="671"/>
    </row>
    <row r="10" spans="1:8" x14ac:dyDescent="0.2">
      <c r="A10" s="30">
        <v>5</v>
      </c>
      <c r="B10" s="62" t="s">
        <v>1494</v>
      </c>
      <c r="C10" s="649">
        <f>SUM(C11:C12)</f>
        <v>168345</v>
      </c>
      <c r="D10" s="649">
        <f>SUM(D11:D12)</f>
        <v>644</v>
      </c>
      <c r="E10" s="649">
        <f>SUM(E11:E12)</f>
        <v>211185.2</v>
      </c>
      <c r="F10" s="670">
        <f>SUM(F11:F12)</f>
        <v>750</v>
      </c>
    </row>
    <row r="11" spans="1:8" x14ac:dyDescent="0.2">
      <c r="A11" s="30">
        <v>6</v>
      </c>
      <c r="B11" s="26" t="s">
        <v>64</v>
      </c>
      <c r="C11" s="646">
        <v>168345</v>
      </c>
      <c r="D11" s="646">
        <v>644</v>
      </c>
      <c r="E11" s="646">
        <v>211185.2</v>
      </c>
      <c r="F11" s="671">
        <v>750</v>
      </c>
    </row>
    <row r="12" spans="1:8" ht="18.75" x14ac:dyDescent="0.2">
      <c r="A12" s="30">
        <v>7</v>
      </c>
      <c r="B12" s="26" t="s">
        <v>159</v>
      </c>
      <c r="C12" s="646"/>
      <c r="D12" s="646"/>
      <c r="E12" s="646"/>
      <c r="F12" s="671"/>
    </row>
    <row r="13" spans="1:8" x14ac:dyDescent="0.2">
      <c r="A13" s="30">
        <v>8</v>
      </c>
      <c r="B13" s="62" t="s">
        <v>131</v>
      </c>
      <c r="C13" s="649">
        <f>SUM(C14:C15)</f>
        <v>13537</v>
      </c>
      <c r="D13" s="649">
        <f>SUM(D14:D15)</f>
        <v>86</v>
      </c>
      <c r="E13" s="649">
        <f>SUM(E14:E15)</f>
        <v>10150</v>
      </c>
      <c r="F13" s="670">
        <f>SUM(F14:F15)</f>
        <v>121</v>
      </c>
    </row>
    <row r="14" spans="1:8" x14ac:dyDescent="0.2">
      <c r="A14" s="30">
        <v>9</v>
      </c>
      <c r="B14" s="26" t="s">
        <v>64</v>
      </c>
      <c r="C14" s="646">
        <v>13537</v>
      </c>
      <c r="D14" s="646">
        <v>86</v>
      </c>
      <c r="E14" s="646">
        <v>10150</v>
      </c>
      <c r="F14" s="671">
        <v>121</v>
      </c>
    </row>
    <row r="15" spans="1:8" ht="18.75" x14ac:dyDescent="0.2">
      <c r="A15" s="30">
        <v>10</v>
      </c>
      <c r="B15" s="26" t="s">
        <v>159</v>
      </c>
      <c r="C15" s="646"/>
      <c r="D15" s="646"/>
      <c r="E15" s="646"/>
      <c r="F15" s="671"/>
    </row>
    <row r="16" spans="1:8" x14ac:dyDescent="0.2">
      <c r="A16" s="30">
        <v>11</v>
      </c>
      <c r="B16" s="62" t="s">
        <v>79</v>
      </c>
      <c r="C16" s="649">
        <f>SUM(C17:C18)</f>
        <v>4350</v>
      </c>
      <c r="D16" s="649">
        <f>SUM(D17:D18)</f>
        <v>30</v>
      </c>
      <c r="E16" s="649">
        <f>SUM(E17:E18)</f>
        <v>2696.78</v>
      </c>
      <c r="F16" s="670">
        <f>SUM(F17:F18)</f>
        <v>19</v>
      </c>
    </row>
    <row r="17" spans="1:6" x14ac:dyDescent="0.2">
      <c r="A17" s="30">
        <v>12</v>
      </c>
      <c r="B17" s="26" t="s">
        <v>64</v>
      </c>
      <c r="C17" s="646">
        <v>4350</v>
      </c>
      <c r="D17" s="646">
        <v>30</v>
      </c>
      <c r="E17" s="646">
        <v>2696.78</v>
      </c>
      <c r="F17" s="671">
        <v>19</v>
      </c>
    </row>
    <row r="18" spans="1:6" ht="18.75" x14ac:dyDescent="0.2">
      <c r="A18" s="114">
        <v>13</v>
      </c>
      <c r="B18" s="113" t="s">
        <v>159</v>
      </c>
      <c r="C18" s="697"/>
      <c r="D18" s="697"/>
      <c r="E18" s="697"/>
      <c r="F18" s="698"/>
    </row>
    <row r="19" spans="1:6" ht="19.5" thickBot="1" x14ac:dyDescent="0.25">
      <c r="A19" s="31">
        <v>14</v>
      </c>
      <c r="B19" s="115" t="s">
        <v>999</v>
      </c>
      <c r="C19" s="699" t="s">
        <v>345</v>
      </c>
      <c r="D19" s="308">
        <v>214</v>
      </c>
      <c r="E19" s="699" t="s">
        <v>345</v>
      </c>
      <c r="F19" s="700">
        <v>316</v>
      </c>
    </row>
    <row r="20" spans="1:6" s="116" customFormat="1" x14ac:dyDescent="0.2">
      <c r="A20" s="598"/>
      <c r="B20" s="599"/>
      <c r="C20" s="600"/>
      <c r="D20" s="601"/>
      <c r="E20" s="600"/>
      <c r="F20" s="601"/>
    </row>
    <row r="21" spans="1:6" x14ac:dyDescent="0.2">
      <c r="A21" s="1126" t="s">
        <v>879</v>
      </c>
      <c r="B21" s="1127"/>
      <c r="C21" s="1127"/>
      <c r="D21" s="1127"/>
      <c r="E21" s="1127"/>
      <c r="F21" s="1128"/>
    </row>
    <row r="22" spans="1:6" x14ac:dyDescent="0.2">
      <c r="A22" s="1129" t="s">
        <v>880</v>
      </c>
      <c r="B22" s="1130"/>
      <c r="C22" s="1130"/>
      <c r="D22" s="1130"/>
      <c r="E22" s="1130"/>
      <c r="F22" s="1131"/>
    </row>
    <row r="23" spans="1:6" x14ac:dyDescent="0.2">
      <c r="A23" s="1125" t="s">
        <v>1454</v>
      </c>
      <c r="B23" s="1125"/>
      <c r="C23" s="1125"/>
      <c r="D23" s="1125"/>
      <c r="E23" s="1125"/>
      <c r="F23" s="1125"/>
    </row>
  </sheetData>
  <mergeCells count="11">
    <mergeCell ref="G6:H6"/>
    <mergeCell ref="C2:F2"/>
    <mergeCell ref="A23:F23"/>
    <mergeCell ref="A21:F21"/>
    <mergeCell ref="A22:F22"/>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16"/>
  <sheetViews>
    <sheetView zoomScale="70" zoomScaleNormal="70" workbookViewId="0">
      <pane xSplit="2" ySplit="5" topLeftCell="C6" activePane="bottomRight" state="frozen"/>
      <selection pane="topRight" activeCell="C1" sqref="C1"/>
      <selection pane="bottomLeft" activeCell="A5" sqref="A5"/>
      <selection pane="bottomRight" activeCell="I9" sqref="I9"/>
    </sheetView>
  </sheetViews>
  <sheetFormatPr defaultColWidth="9.140625" defaultRowHeight="18.75" x14ac:dyDescent="0.25"/>
  <cols>
    <col min="1" max="1" width="9.140625" style="358"/>
    <col min="2" max="2" width="67.42578125" style="362" customWidth="1"/>
    <col min="3" max="3" width="21.5703125" style="418" customWidth="1"/>
    <col min="4" max="4" width="24.85546875" style="418" customWidth="1"/>
    <col min="5" max="5" width="26.42578125" style="358" customWidth="1"/>
    <col min="6" max="16384" width="9.140625" style="358"/>
  </cols>
  <sheetData>
    <row r="1" spans="1:9" ht="50.1" customHeight="1" thickBot="1" x14ac:dyDescent="0.3">
      <c r="A1" s="1132" t="s">
        <v>1398</v>
      </c>
      <c r="B1" s="1133"/>
      <c r="C1" s="1133"/>
      <c r="D1" s="1134"/>
      <c r="E1" s="1135"/>
    </row>
    <row r="2" spans="1:9" ht="35.1" customHeight="1" x14ac:dyDescent="0.25">
      <c r="A2" s="1136" t="s">
        <v>427</v>
      </c>
      <c r="B2" s="1137"/>
      <c r="C2" s="1137"/>
      <c r="D2" s="1138"/>
      <c r="E2" s="1139"/>
    </row>
    <row r="3" spans="1:9" ht="33" customHeight="1" x14ac:dyDescent="0.25">
      <c r="A3" s="602" t="s">
        <v>228</v>
      </c>
      <c r="B3" s="603" t="s">
        <v>359</v>
      </c>
      <c r="C3" s="607">
        <v>2014</v>
      </c>
      <c r="D3" s="1140">
        <v>2015</v>
      </c>
      <c r="E3" s="1141"/>
    </row>
    <row r="4" spans="1:9" ht="71.25" customHeight="1" x14ac:dyDescent="0.25">
      <c r="A4" s="359"/>
      <c r="B4" s="441"/>
      <c r="C4" s="607" t="s">
        <v>1434</v>
      </c>
      <c r="D4" s="613" t="s">
        <v>1439</v>
      </c>
      <c r="E4" s="614" t="s">
        <v>1440</v>
      </c>
    </row>
    <row r="5" spans="1:9" ht="18.75" customHeight="1" x14ac:dyDescent="0.25">
      <c r="A5" s="359"/>
      <c r="B5" s="441"/>
      <c r="C5" s="360" t="s">
        <v>314</v>
      </c>
      <c r="D5" s="606" t="s">
        <v>1437</v>
      </c>
      <c r="E5" s="612" t="s">
        <v>1438</v>
      </c>
    </row>
    <row r="6" spans="1:9" s="414" customFormat="1" ht="34.5" customHeight="1" x14ac:dyDescent="0.2">
      <c r="A6" s="440">
        <v>1</v>
      </c>
      <c r="B6" s="442" t="s">
        <v>1005</v>
      </c>
      <c r="C6" s="701">
        <v>37938.89</v>
      </c>
      <c r="D6" s="702" t="s">
        <v>345</v>
      </c>
      <c r="E6" s="703">
        <f>C9</f>
        <v>108559.7899999998</v>
      </c>
    </row>
    <row r="7" spans="1:9" ht="36" customHeight="1" x14ac:dyDescent="0.25">
      <c r="A7" s="361">
        <v>2</v>
      </c>
      <c r="B7" s="443" t="s">
        <v>855</v>
      </c>
      <c r="C7" s="701">
        <f>1345950+541695</f>
        <v>1887645</v>
      </c>
      <c r="D7" s="704">
        <v>1321049</v>
      </c>
      <c r="E7" s="902">
        <v>525000</v>
      </c>
    </row>
    <row r="8" spans="1:9" ht="35.25" customHeight="1" x14ac:dyDescent="0.25">
      <c r="A8" s="361">
        <v>3</v>
      </c>
      <c r="B8" s="443" t="s">
        <v>1006</v>
      </c>
      <c r="C8" s="701">
        <f>1345950+471074.1</f>
        <v>1817024.1</v>
      </c>
      <c r="D8" s="704">
        <f>[3]CRŠ_2015!$R$168</f>
        <v>1293113</v>
      </c>
      <c r="E8" s="902">
        <v>604076.14</v>
      </c>
      <c r="F8" s="1143"/>
      <c r="G8" s="1143"/>
      <c r="H8" s="1143"/>
      <c r="I8" s="1143"/>
    </row>
    <row r="9" spans="1:9" ht="39.75" customHeight="1" x14ac:dyDescent="0.25">
      <c r="A9" s="361">
        <v>4</v>
      </c>
      <c r="B9" s="443" t="s">
        <v>1399</v>
      </c>
      <c r="C9" s="672">
        <f>C6+C7-C8</f>
        <v>108559.7899999998</v>
      </c>
      <c r="D9" s="705">
        <f>D7-D8</f>
        <v>27936</v>
      </c>
      <c r="E9" s="673">
        <f>E6+E7-E8</f>
        <v>29483.64999999979</v>
      </c>
    </row>
    <row r="10" spans="1:9" ht="36" customHeight="1" thickBot="1" x14ac:dyDescent="0.3">
      <c r="A10" s="415">
        <v>5</v>
      </c>
      <c r="B10" s="444" t="s">
        <v>1084</v>
      </c>
      <c r="C10" s="706">
        <f>3658+1023</f>
        <v>4681</v>
      </c>
      <c r="D10" s="707">
        <v>3592</v>
      </c>
      <c r="E10" s="708">
        <v>1716</v>
      </c>
    </row>
    <row r="11" spans="1:9" ht="21" customHeight="1" x14ac:dyDescent="0.25">
      <c r="A11" s="416"/>
      <c r="B11" s="417"/>
      <c r="C11" s="358"/>
      <c r="D11" s="358"/>
    </row>
    <row r="12" spans="1:9" ht="21" customHeight="1" x14ac:dyDescent="0.25">
      <c r="A12" s="1142" t="s">
        <v>1007</v>
      </c>
      <c r="B12" s="1142"/>
      <c r="C12" s="1142"/>
      <c r="D12" s="1142"/>
      <c r="E12" s="1142"/>
    </row>
    <row r="13" spans="1:9" ht="18" x14ac:dyDescent="0.25">
      <c r="A13" s="610" t="s">
        <v>1435</v>
      </c>
      <c r="B13" s="611"/>
      <c r="C13" s="604"/>
      <c r="D13" s="604"/>
      <c r="E13" s="605"/>
    </row>
    <row r="14" spans="1:9" ht="18" x14ac:dyDescent="0.25">
      <c r="A14" s="610" t="s">
        <v>1436</v>
      </c>
      <c r="B14" s="611"/>
      <c r="C14" s="604"/>
      <c r="D14" s="604"/>
      <c r="E14" s="605"/>
    </row>
    <row r="16" spans="1:9" x14ac:dyDescent="0.25">
      <c r="C16" s="418" t="s">
        <v>179</v>
      </c>
    </row>
  </sheetData>
  <mergeCells count="5">
    <mergeCell ref="A1:E1"/>
    <mergeCell ref="A2:E2"/>
    <mergeCell ref="D3:E3"/>
    <mergeCell ref="A12:E12"/>
    <mergeCell ref="F8:I8"/>
  </mergeCells>
  <printOptions horizontalCentered="1"/>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enableFormatConditionsCalculation="0">
    <tabColor indexed="42"/>
    <pageSetUpPr fitToPage="1"/>
  </sheetPr>
  <dimension ref="A1:M6"/>
  <sheetViews>
    <sheetView zoomScale="55" zoomScaleNormal="55" workbookViewId="0">
      <pane xSplit="1" ySplit="5" topLeftCell="B6" activePane="bottomRight" state="frozen"/>
      <selection pane="topRight" activeCell="B1" sqref="B1"/>
      <selection pane="bottomLeft" activeCell="A6" sqref="A6"/>
      <selection pane="bottomRight" activeCell="E16" sqref="E16"/>
    </sheetView>
  </sheetViews>
  <sheetFormatPr defaultColWidth="9.140625" defaultRowHeight="15.75" x14ac:dyDescent="0.2"/>
  <cols>
    <col min="1" max="1" width="8.85546875" style="73" customWidth="1"/>
    <col min="2" max="2" width="20.5703125" style="73" customWidth="1"/>
    <col min="3" max="3" width="18.42578125" style="73" customWidth="1"/>
    <col min="4" max="4" width="15.85546875" style="73" customWidth="1"/>
    <col min="5" max="5" width="15.5703125" style="73" customWidth="1"/>
    <col min="6" max="6" width="25.7109375" style="73" customWidth="1"/>
    <col min="7" max="7" width="18.5703125" style="73" customWidth="1"/>
    <col min="8" max="8" width="20.42578125" style="73" customWidth="1"/>
    <col min="9" max="9" width="18" style="73" customWidth="1"/>
    <col min="10" max="10" width="16.5703125" style="73" customWidth="1"/>
    <col min="11" max="11" width="16.85546875" style="73" customWidth="1"/>
    <col min="12" max="12" width="15" style="73" customWidth="1"/>
    <col min="13" max="13" width="17.5703125" style="73" customWidth="1"/>
    <col min="14" max="16384" width="9.140625" style="73"/>
  </cols>
  <sheetData>
    <row r="1" spans="1:13" s="71" customFormat="1" ht="35.1" customHeight="1" thickBot="1" x14ac:dyDescent="0.25">
      <c r="A1" s="1148" t="s">
        <v>1274</v>
      </c>
      <c r="B1" s="1149"/>
      <c r="C1" s="1149"/>
      <c r="D1" s="1149"/>
      <c r="E1" s="1149"/>
      <c r="F1" s="1149"/>
      <c r="G1" s="1149"/>
      <c r="H1" s="1149"/>
      <c r="I1" s="1149"/>
      <c r="J1" s="1149"/>
      <c r="K1" s="1149"/>
      <c r="L1" s="1149"/>
      <c r="M1" s="1150"/>
    </row>
    <row r="2" spans="1:13" s="71" customFormat="1" ht="42.75" customHeight="1" x14ac:dyDescent="0.2">
      <c r="A2" s="969" t="s">
        <v>429</v>
      </c>
      <c r="B2" s="970"/>
      <c r="C2" s="970"/>
      <c r="D2" s="970"/>
      <c r="E2" s="970"/>
      <c r="F2" s="970"/>
      <c r="G2" s="970"/>
      <c r="H2" s="970"/>
      <c r="I2" s="970"/>
      <c r="J2" s="970"/>
      <c r="K2" s="970"/>
      <c r="L2" s="970"/>
      <c r="M2" s="971"/>
    </row>
    <row r="3" spans="1:13" s="71" customFormat="1" ht="45.75" customHeight="1" x14ac:dyDescent="0.2">
      <c r="A3" s="1144" t="s">
        <v>228</v>
      </c>
      <c r="B3" s="1146" t="s">
        <v>1275</v>
      </c>
      <c r="C3" s="1146"/>
      <c r="D3" s="1146"/>
      <c r="E3" s="1146"/>
      <c r="F3" s="1146"/>
      <c r="G3" s="1146"/>
      <c r="H3" s="1146" t="s">
        <v>1276</v>
      </c>
      <c r="I3" s="1146"/>
      <c r="J3" s="1146"/>
      <c r="K3" s="1146"/>
      <c r="L3" s="1146"/>
      <c r="M3" s="1147"/>
    </row>
    <row r="4" spans="1:13" s="72" customFormat="1" ht="171.75" customHeight="1" x14ac:dyDescent="0.2">
      <c r="A4" s="1145"/>
      <c r="B4" s="408" t="s">
        <v>1000</v>
      </c>
      <c r="C4" s="408" t="s">
        <v>1001</v>
      </c>
      <c r="D4" s="408" t="s">
        <v>252</v>
      </c>
      <c r="E4" s="408" t="s">
        <v>89</v>
      </c>
      <c r="F4" s="408" t="s">
        <v>90</v>
      </c>
      <c r="G4" s="408" t="s">
        <v>226</v>
      </c>
      <c r="H4" s="408" t="s">
        <v>1000</v>
      </c>
      <c r="I4" s="408" t="s">
        <v>1001</v>
      </c>
      <c r="J4" s="408" t="s">
        <v>252</v>
      </c>
      <c r="K4" s="408" t="s">
        <v>89</v>
      </c>
      <c r="L4" s="95" t="s">
        <v>90</v>
      </c>
      <c r="M4" s="97" t="s">
        <v>226</v>
      </c>
    </row>
    <row r="5" spans="1:13" x14ac:dyDescent="0.2">
      <c r="A5" s="98"/>
      <c r="B5" s="96" t="s">
        <v>314</v>
      </c>
      <c r="C5" s="96" t="s">
        <v>315</v>
      </c>
      <c r="D5" s="96" t="s">
        <v>316</v>
      </c>
      <c r="E5" s="96" t="s">
        <v>323</v>
      </c>
      <c r="F5" s="96" t="s">
        <v>317</v>
      </c>
      <c r="G5" s="96" t="s">
        <v>881</v>
      </c>
      <c r="H5" s="96" t="s">
        <v>319</v>
      </c>
      <c r="I5" s="96" t="s">
        <v>320</v>
      </c>
      <c r="J5" s="96" t="s">
        <v>321</v>
      </c>
      <c r="K5" s="96" t="s">
        <v>882</v>
      </c>
      <c r="L5" s="307" t="s">
        <v>883</v>
      </c>
      <c r="M5" s="99" t="s">
        <v>1461</v>
      </c>
    </row>
    <row r="6" spans="1:13" ht="36" customHeight="1" thickBot="1" x14ac:dyDescent="0.25">
      <c r="A6" s="100">
        <v>1</v>
      </c>
      <c r="B6" s="308">
        <v>33288330.920000002</v>
      </c>
      <c r="C6" s="308">
        <v>44442513.810000002</v>
      </c>
      <c r="D6" s="308">
        <v>6804560.4900000002</v>
      </c>
      <c r="E6" s="308">
        <v>2842865.52</v>
      </c>
      <c r="F6" s="308">
        <v>1795330.61</v>
      </c>
      <c r="G6" s="309">
        <f>SUM(B6:F6)</f>
        <v>89173601.349999994</v>
      </c>
      <c r="H6" s="308">
        <v>32487800.149999999</v>
      </c>
      <c r="I6" s="308">
        <v>112752056.92</v>
      </c>
      <c r="J6" s="308">
        <v>7343345.1500000004</v>
      </c>
      <c r="K6" s="308">
        <v>3039518.16</v>
      </c>
      <c r="L6" s="308">
        <v>3485750.81</v>
      </c>
      <c r="M6" s="310">
        <f>SUM(H6:L6)</f>
        <v>159108471.19</v>
      </c>
    </row>
  </sheetData>
  <mergeCells count="5">
    <mergeCell ref="A3:A4"/>
    <mergeCell ref="B3:G3"/>
    <mergeCell ref="H3:M3"/>
    <mergeCell ref="A1:M1"/>
    <mergeCell ref="A2:M2"/>
  </mergeCells>
  <phoneticPr fontId="25" type="noConversion"/>
  <pageMargins left="0.4" right="0.27" top="0.98425196850393704" bottom="0.98425196850393704" header="0.51181102362204722" footer="0.51181102362204722"/>
  <pageSetup paperSize="9" scale="6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3"/>
  <sheetViews>
    <sheetView zoomScale="85" zoomScaleNormal="85" workbookViewId="0">
      <pane xSplit="3" ySplit="3" topLeftCell="D37" activePane="bottomRight" state="frozen"/>
      <selection pane="topRight" activeCell="D1" sqref="D1"/>
      <selection pane="bottomLeft" activeCell="A4" sqref="A4"/>
      <selection pane="bottomRight" activeCell="F45" sqref="F45"/>
    </sheetView>
  </sheetViews>
  <sheetFormatPr defaultColWidth="9.140625" defaultRowHeight="15.75" x14ac:dyDescent="0.2"/>
  <cols>
    <col min="1" max="1" width="7.42578125" style="166" customWidth="1"/>
    <col min="2" max="2" width="39.85546875" style="166" customWidth="1"/>
    <col min="3" max="3" width="9.42578125" style="166" customWidth="1"/>
    <col min="4" max="4" width="18.42578125" style="166" customWidth="1"/>
    <col min="5" max="5" width="16.5703125" style="166" customWidth="1"/>
    <col min="6" max="6" width="15.42578125" style="166" customWidth="1"/>
    <col min="7" max="7" width="5.140625" style="166" customWidth="1"/>
    <col min="8" max="8" width="25" style="166" customWidth="1"/>
    <col min="9" max="16384" width="9.140625" style="166"/>
  </cols>
  <sheetData>
    <row r="1" spans="1:7" ht="66.75" customHeight="1" thickBot="1" x14ac:dyDescent="0.25">
      <c r="A1" s="1157" t="s">
        <v>1277</v>
      </c>
      <c r="B1" s="1158"/>
      <c r="C1" s="1158"/>
      <c r="D1" s="1158"/>
      <c r="E1" s="1158"/>
      <c r="F1" s="1159"/>
    </row>
    <row r="2" spans="1:7" ht="36.75" customHeight="1" thickBot="1" x14ac:dyDescent="0.25">
      <c r="A2" s="1160" t="s">
        <v>426</v>
      </c>
      <c r="B2" s="1161"/>
      <c r="C2" s="1161"/>
      <c r="D2" s="1161"/>
      <c r="E2" s="1161"/>
      <c r="F2" s="1162"/>
    </row>
    <row r="3" spans="1:7" s="169" customFormat="1" ht="69" customHeight="1" thickBot="1" x14ac:dyDescent="0.25">
      <c r="A3" s="167" t="s">
        <v>690</v>
      </c>
      <c r="B3" s="167" t="s">
        <v>440</v>
      </c>
      <c r="C3" s="168" t="s">
        <v>228</v>
      </c>
      <c r="D3" s="168" t="s">
        <v>1278</v>
      </c>
      <c r="E3" s="544" t="s">
        <v>1279</v>
      </c>
      <c r="F3" s="545" t="s">
        <v>1261</v>
      </c>
      <c r="G3" s="166"/>
    </row>
    <row r="4" spans="1:7" customFormat="1" x14ac:dyDescent="0.25">
      <c r="A4" s="269">
        <v>601</v>
      </c>
      <c r="B4" s="262" t="s">
        <v>764</v>
      </c>
      <c r="C4" s="263" t="s">
        <v>765</v>
      </c>
      <c r="D4" s="219"/>
      <c r="E4" s="256"/>
      <c r="F4" s="260">
        <f>E4-D4</f>
        <v>0</v>
      </c>
      <c r="G4" s="166"/>
    </row>
    <row r="5" spans="1:7" customFormat="1" x14ac:dyDescent="0.25">
      <c r="A5" s="270">
        <v>602</v>
      </c>
      <c r="B5" s="264" t="s">
        <v>766</v>
      </c>
      <c r="C5" s="265" t="s">
        <v>767</v>
      </c>
      <c r="D5" s="220">
        <v>5091726</v>
      </c>
      <c r="E5" s="257">
        <v>5166300.71</v>
      </c>
      <c r="F5" s="261">
        <f t="shared" ref="F5:F38" si="0">E5-D5</f>
        <v>74574.709999999963</v>
      </c>
      <c r="G5" s="166"/>
    </row>
    <row r="6" spans="1:7" customFormat="1" x14ac:dyDescent="0.25">
      <c r="A6" s="270">
        <v>604</v>
      </c>
      <c r="B6" s="266" t="s">
        <v>768</v>
      </c>
      <c r="C6" s="265" t="s">
        <v>769</v>
      </c>
      <c r="D6" s="220">
        <v>83269</v>
      </c>
      <c r="E6" s="257">
        <v>89755.98</v>
      </c>
      <c r="F6" s="261">
        <f t="shared" si="0"/>
        <v>6486.9799999999959</v>
      </c>
      <c r="G6" s="166"/>
    </row>
    <row r="7" spans="1:7" customFormat="1" x14ac:dyDescent="0.25">
      <c r="A7" s="270">
        <v>611</v>
      </c>
      <c r="B7" s="264" t="s">
        <v>770</v>
      </c>
      <c r="C7" s="265" t="s">
        <v>771</v>
      </c>
      <c r="D7" s="220"/>
      <c r="E7" s="257"/>
      <c r="F7" s="261">
        <f t="shared" si="0"/>
        <v>0</v>
      </c>
      <c r="G7" s="166"/>
    </row>
    <row r="8" spans="1:7" customFormat="1" x14ac:dyDescent="0.25">
      <c r="A8" s="270">
        <v>612</v>
      </c>
      <c r="B8" s="264" t="s">
        <v>772</v>
      </c>
      <c r="C8" s="265" t="s">
        <v>773</v>
      </c>
      <c r="D8" s="220"/>
      <c r="E8" s="257"/>
      <c r="F8" s="261">
        <f t="shared" si="0"/>
        <v>0</v>
      </c>
      <c r="G8" s="166"/>
    </row>
    <row r="9" spans="1:7" customFormat="1" x14ac:dyDescent="0.25">
      <c r="A9" s="270">
        <v>613</v>
      </c>
      <c r="B9" s="264" t="s">
        <v>774</v>
      </c>
      <c r="C9" s="265" t="s">
        <v>775</v>
      </c>
      <c r="D9" s="220"/>
      <c r="E9" s="257"/>
      <c r="F9" s="261">
        <f t="shared" si="0"/>
        <v>0</v>
      </c>
      <c r="G9" s="166"/>
    </row>
    <row r="10" spans="1:7" customFormat="1" x14ac:dyDescent="0.25">
      <c r="A10" s="270">
        <v>614</v>
      </c>
      <c r="B10" s="264" t="s">
        <v>776</v>
      </c>
      <c r="C10" s="265" t="s">
        <v>777</v>
      </c>
      <c r="D10" s="220"/>
      <c r="E10" s="257"/>
      <c r="F10" s="261">
        <f t="shared" si="0"/>
        <v>0</v>
      </c>
      <c r="G10" s="166"/>
    </row>
    <row r="11" spans="1:7" customFormat="1" x14ac:dyDescent="0.25">
      <c r="A11" s="270">
        <v>621</v>
      </c>
      <c r="B11" s="264" t="s">
        <v>778</v>
      </c>
      <c r="C11" s="265" t="s">
        <v>779</v>
      </c>
      <c r="D11" s="220"/>
      <c r="E11" s="257"/>
      <c r="F11" s="261">
        <f t="shared" si="0"/>
        <v>0</v>
      </c>
      <c r="G11" s="166"/>
    </row>
    <row r="12" spans="1:7" customFormat="1" x14ac:dyDescent="0.25">
      <c r="A12" s="270">
        <v>622</v>
      </c>
      <c r="B12" s="264" t="s">
        <v>780</v>
      </c>
      <c r="C12" s="265" t="s">
        <v>781</v>
      </c>
      <c r="D12" s="220"/>
      <c r="E12" s="257"/>
      <c r="F12" s="261">
        <f t="shared" si="0"/>
        <v>0</v>
      </c>
      <c r="G12" s="166"/>
    </row>
    <row r="13" spans="1:7" customFormat="1" x14ac:dyDescent="0.25">
      <c r="A13" s="270">
        <v>623</v>
      </c>
      <c r="B13" s="264" t="s">
        <v>782</v>
      </c>
      <c r="C13" s="265" t="s">
        <v>783</v>
      </c>
      <c r="D13" s="220"/>
      <c r="E13" s="257"/>
      <c r="F13" s="261">
        <f t="shared" si="0"/>
        <v>0</v>
      </c>
    </row>
    <row r="14" spans="1:7" customFormat="1" x14ac:dyDescent="0.25">
      <c r="A14" s="270">
        <v>624</v>
      </c>
      <c r="B14" s="264" t="s">
        <v>784</v>
      </c>
      <c r="C14" s="265" t="s">
        <v>785</v>
      </c>
      <c r="D14" s="220"/>
      <c r="E14" s="257"/>
      <c r="F14" s="261">
        <f t="shared" si="0"/>
        <v>0</v>
      </c>
    </row>
    <row r="15" spans="1:7" customFormat="1" x14ac:dyDescent="0.25">
      <c r="A15" s="270">
        <v>641</v>
      </c>
      <c r="B15" s="264" t="s">
        <v>721</v>
      </c>
      <c r="C15" s="265" t="s">
        <v>786</v>
      </c>
      <c r="D15" s="220">
        <v>3899</v>
      </c>
      <c r="E15" s="257">
        <v>5632.98</v>
      </c>
      <c r="F15" s="261">
        <f t="shared" si="0"/>
        <v>1733.9799999999996</v>
      </c>
    </row>
    <row r="16" spans="1:7" customFormat="1" x14ac:dyDescent="0.25">
      <c r="A16" s="270">
        <v>642</v>
      </c>
      <c r="B16" s="264" t="s">
        <v>723</v>
      </c>
      <c r="C16" s="265" t="s">
        <v>787</v>
      </c>
      <c r="D16" s="220">
        <v>10596</v>
      </c>
      <c r="E16" s="257">
        <v>7144.98</v>
      </c>
      <c r="F16" s="261">
        <f t="shared" si="0"/>
        <v>-3451.0200000000004</v>
      </c>
    </row>
    <row r="17" spans="1:8" customFormat="1" x14ac:dyDescent="0.25">
      <c r="A17" s="270">
        <v>643</v>
      </c>
      <c r="B17" s="264" t="s">
        <v>788</v>
      </c>
      <c r="C17" s="265" t="s">
        <v>789</v>
      </c>
      <c r="D17" s="220"/>
      <c r="E17" s="257"/>
      <c r="F17" s="261">
        <f t="shared" si="0"/>
        <v>0</v>
      </c>
    </row>
    <row r="18" spans="1:8" customFormat="1" x14ac:dyDescent="0.25">
      <c r="A18" s="270">
        <v>644</v>
      </c>
      <c r="B18" s="264" t="s">
        <v>727</v>
      </c>
      <c r="C18" s="265" t="s">
        <v>790</v>
      </c>
      <c r="D18" s="220">
        <v>13</v>
      </c>
      <c r="E18" s="257">
        <v>74.92</v>
      </c>
      <c r="F18" s="261">
        <f t="shared" si="0"/>
        <v>61.92</v>
      </c>
    </row>
    <row r="19" spans="1:8" customFormat="1" x14ac:dyDescent="0.25">
      <c r="A19" s="270">
        <v>645</v>
      </c>
      <c r="B19" s="264" t="s">
        <v>791</v>
      </c>
      <c r="C19" s="265" t="s">
        <v>792</v>
      </c>
      <c r="D19" s="220"/>
      <c r="E19" s="257"/>
      <c r="F19" s="261">
        <f t="shared" si="0"/>
        <v>0</v>
      </c>
    </row>
    <row r="20" spans="1:8" customFormat="1" x14ac:dyDescent="0.25">
      <c r="A20" s="270">
        <v>646</v>
      </c>
      <c r="B20" s="264" t="s">
        <v>793</v>
      </c>
      <c r="C20" s="265" t="s">
        <v>794</v>
      </c>
      <c r="D20" s="220"/>
      <c r="E20" s="257"/>
      <c r="F20" s="261">
        <f t="shared" si="0"/>
        <v>0</v>
      </c>
    </row>
    <row r="21" spans="1:8" customFormat="1" x14ac:dyDescent="0.25">
      <c r="A21" s="270">
        <v>647</v>
      </c>
      <c r="B21" s="264" t="s">
        <v>795</v>
      </c>
      <c r="C21" s="265" t="s">
        <v>796</v>
      </c>
      <c r="D21" s="220"/>
      <c r="E21" s="257"/>
      <c r="F21" s="261">
        <f t="shared" si="0"/>
        <v>0</v>
      </c>
    </row>
    <row r="22" spans="1:8" customFormat="1" x14ac:dyDescent="0.25">
      <c r="A22" s="270">
        <v>648</v>
      </c>
      <c r="B22" s="264" t="s">
        <v>797</v>
      </c>
      <c r="C22" s="265" t="s">
        <v>798</v>
      </c>
      <c r="D22" s="220"/>
      <c r="E22" s="257"/>
      <c r="F22" s="261">
        <f t="shared" si="0"/>
        <v>0</v>
      </c>
    </row>
    <row r="23" spans="1:8" customFormat="1" ht="16.5" thickBot="1" x14ac:dyDescent="0.3">
      <c r="A23" s="270">
        <v>649</v>
      </c>
      <c r="B23" s="264" t="s">
        <v>799</v>
      </c>
      <c r="C23" s="265" t="s">
        <v>800</v>
      </c>
      <c r="D23" s="220">
        <v>86174</v>
      </c>
      <c r="E23" s="257">
        <v>34032.61</v>
      </c>
      <c r="F23" s="261">
        <f t="shared" si="0"/>
        <v>-52141.39</v>
      </c>
      <c r="H23" s="844" t="s">
        <v>1553</v>
      </c>
    </row>
    <row r="24" spans="1:8" customFormat="1" x14ac:dyDescent="0.25">
      <c r="A24" s="270">
        <v>651</v>
      </c>
      <c r="B24" s="264" t="s">
        <v>801</v>
      </c>
      <c r="C24" s="265" t="s">
        <v>802</v>
      </c>
      <c r="D24" s="220"/>
      <c r="E24" s="257"/>
      <c r="F24" s="261">
        <f t="shared" si="0"/>
        <v>0</v>
      </c>
    </row>
    <row r="25" spans="1:8" customFormat="1" x14ac:dyDescent="0.25">
      <c r="A25" s="270">
        <v>652</v>
      </c>
      <c r="B25" s="264" t="s">
        <v>803</v>
      </c>
      <c r="C25" s="265" t="s">
        <v>804</v>
      </c>
      <c r="D25" s="220"/>
      <c r="E25" s="257"/>
      <c r="F25" s="261">
        <f t="shared" si="0"/>
        <v>0</v>
      </c>
    </row>
    <row r="26" spans="1:8" customFormat="1" x14ac:dyDescent="0.25">
      <c r="A26" s="270">
        <v>653</v>
      </c>
      <c r="B26" s="264" t="s">
        <v>805</v>
      </c>
      <c r="C26" s="265" t="s">
        <v>806</v>
      </c>
      <c r="D26" s="220"/>
      <c r="E26" s="257"/>
      <c r="F26" s="261">
        <f t="shared" si="0"/>
        <v>0</v>
      </c>
    </row>
    <row r="27" spans="1:8" customFormat="1" x14ac:dyDescent="0.25">
      <c r="A27" s="270">
        <v>654</v>
      </c>
      <c r="B27" s="264" t="s">
        <v>807</v>
      </c>
      <c r="C27" s="265" t="s">
        <v>808</v>
      </c>
      <c r="D27" s="220"/>
      <c r="E27" s="257"/>
      <c r="F27" s="261">
        <f t="shared" si="0"/>
        <v>0</v>
      </c>
    </row>
    <row r="28" spans="1:8" customFormat="1" x14ac:dyDescent="0.25">
      <c r="A28" s="270">
        <v>655</v>
      </c>
      <c r="B28" s="264" t="s">
        <v>809</v>
      </c>
      <c r="C28" s="265" t="s">
        <v>810</v>
      </c>
      <c r="D28" s="220"/>
      <c r="E28" s="257"/>
      <c r="F28" s="261">
        <f t="shared" si="0"/>
        <v>0</v>
      </c>
    </row>
    <row r="29" spans="1:8" customFormat="1" x14ac:dyDescent="0.25">
      <c r="A29" s="271">
        <v>656</v>
      </c>
      <c r="B29" s="264" t="s">
        <v>811</v>
      </c>
      <c r="C29" s="265" t="s">
        <v>812</v>
      </c>
      <c r="D29" s="220">
        <v>218075</v>
      </c>
      <c r="E29" s="257">
        <v>322870.96000000002</v>
      </c>
      <c r="F29" s="261">
        <f t="shared" si="0"/>
        <v>104795.96000000002</v>
      </c>
      <c r="G29" s="733"/>
      <c r="H29" s="733" t="s">
        <v>1552</v>
      </c>
    </row>
    <row r="30" spans="1:8" customFormat="1" x14ac:dyDescent="0.25">
      <c r="A30" s="271">
        <v>657</v>
      </c>
      <c r="B30" s="264" t="s">
        <v>813</v>
      </c>
      <c r="C30" s="265" t="s">
        <v>814</v>
      </c>
      <c r="D30" s="220"/>
      <c r="E30" s="257"/>
      <c r="F30" s="261">
        <f t="shared" si="0"/>
        <v>0</v>
      </c>
    </row>
    <row r="31" spans="1:8" customFormat="1" x14ac:dyDescent="0.25">
      <c r="A31" s="271">
        <v>658</v>
      </c>
      <c r="B31" s="264" t="s">
        <v>815</v>
      </c>
      <c r="C31" s="265" t="s">
        <v>816</v>
      </c>
      <c r="D31" s="220">
        <v>97907</v>
      </c>
      <c r="E31" s="257">
        <v>88662.15</v>
      </c>
      <c r="F31" s="261">
        <f t="shared" si="0"/>
        <v>-9244.8500000000058</v>
      </c>
    </row>
    <row r="32" spans="1:8" customFormat="1" x14ac:dyDescent="0.25">
      <c r="A32" s="271">
        <v>661</v>
      </c>
      <c r="B32" s="264" t="s">
        <v>817</v>
      </c>
      <c r="C32" s="265" t="s">
        <v>818</v>
      </c>
      <c r="D32" s="220"/>
      <c r="E32" s="257"/>
      <c r="F32" s="261">
        <f t="shared" si="0"/>
        <v>0</v>
      </c>
    </row>
    <row r="33" spans="1:7" customFormat="1" x14ac:dyDescent="0.25">
      <c r="A33" s="271">
        <v>662</v>
      </c>
      <c r="B33" s="264" t="s">
        <v>819</v>
      </c>
      <c r="C33" s="265" t="s">
        <v>820</v>
      </c>
      <c r="D33" s="220"/>
      <c r="E33" s="257"/>
      <c r="F33" s="261">
        <f t="shared" si="0"/>
        <v>0</v>
      </c>
    </row>
    <row r="34" spans="1:7" customFormat="1" x14ac:dyDescent="0.25">
      <c r="A34" s="271">
        <v>663</v>
      </c>
      <c r="B34" s="264" t="s">
        <v>821</v>
      </c>
      <c r="C34" s="265" t="s">
        <v>822</v>
      </c>
      <c r="D34" s="220"/>
      <c r="E34" s="257"/>
      <c r="F34" s="261">
        <f t="shared" si="0"/>
        <v>0</v>
      </c>
    </row>
    <row r="35" spans="1:7" customFormat="1" x14ac:dyDescent="0.25">
      <c r="A35" s="271">
        <v>664</v>
      </c>
      <c r="B35" s="264" t="s">
        <v>823</v>
      </c>
      <c r="C35" s="265" t="s">
        <v>824</v>
      </c>
      <c r="D35" s="220"/>
      <c r="E35" s="258"/>
      <c r="F35" s="261">
        <f t="shared" si="0"/>
        <v>0</v>
      </c>
      <c r="G35" s="166"/>
    </row>
    <row r="36" spans="1:7" customFormat="1" x14ac:dyDescent="0.25">
      <c r="A36" s="271">
        <v>665</v>
      </c>
      <c r="B36" s="264" t="s">
        <v>825</v>
      </c>
      <c r="C36" s="265" t="s">
        <v>826</v>
      </c>
      <c r="D36" s="220"/>
      <c r="E36" s="258"/>
      <c r="F36" s="261">
        <f t="shared" si="0"/>
        <v>0</v>
      </c>
      <c r="G36" s="166"/>
    </row>
    <row r="37" spans="1:7" x14ac:dyDescent="0.25">
      <c r="A37" s="271">
        <v>667</v>
      </c>
      <c r="B37" s="264" t="s">
        <v>827</v>
      </c>
      <c r="C37" s="265" t="s">
        <v>828</v>
      </c>
      <c r="D37" s="220"/>
      <c r="E37" s="258"/>
      <c r="F37" s="261">
        <f t="shared" si="0"/>
        <v>0</v>
      </c>
    </row>
    <row r="38" spans="1:7" x14ac:dyDescent="0.25">
      <c r="A38" s="271">
        <v>691</v>
      </c>
      <c r="B38" s="264" t="s">
        <v>829</v>
      </c>
      <c r="C38" s="265" t="s">
        <v>830</v>
      </c>
      <c r="D38" s="220">
        <v>3625988</v>
      </c>
      <c r="E38" s="258">
        <v>3571358.12</v>
      </c>
      <c r="F38" s="261">
        <f t="shared" si="0"/>
        <v>-54629.879999999888</v>
      </c>
    </row>
    <row r="39" spans="1:7" x14ac:dyDescent="0.2">
      <c r="A39" s="1151" t="s">
        <v>831</v>
      </c>
      <c r="B39" s="1152"/>
      <c r="C39" s="267" t="s">
        <v>832</v>
      </c>
      <c r="D39" s="255">
        <f>SUM(D4:D38)</f>
        <v>9217647</v>
      </c>
      <c r="E39" s="259">
        <f>SUM(E4:E38)</f>
        <v>9285833.410000002</v>
      </c>
      <c r="F39" s="261">
        <f>SUM(F4:F38)</f>
        <v>68186.410000000062</v>
      </c>
    </row>
    <row r="40" spans="1:7" x14ac:dyDescent="0.2">
      <c r="A40" s="1153" t="s">
        <v>833</v>
      </c>
      <c r="B40" s="1154"/>
      <c r="C40" s="268" t="s">
        <v>834</v>
      </c>
      <c r="D40" s="49">
        <v>1445856</v>
      </c>
      <c r="E40" s="341">
        <f>E39-T23_Náklady_soc_oblasť!E41</f>
        <v>581544.20000000298</v>
      </c>
      <c r="F40" s="261">
        <f>F39-T23_Náklady_soc_oblasť!F41</f>
        <v>-864312.79999999981</v>
      </c>
    </row>
    <row r="41" spans="1:7" x14ac:dyDescent="0.25">
      <c r="A41" s="271">
        <v>591</v>
      </c>
      <c r="B41" s="264" t="s">
        <v>835</v>
      </c>
      <c r="C41" s="265" t="s">
        <v>836</v>
      </c>
      <c r="D41" s="220"/>
      <c r="E41" s="257"/>
      <c r="F41" s="261">
        <f>E41-D41</f>
        <v>0</v>
      </c>
    </row>
    <row r="42" spans="1:7" x14ac:dyDescent="0.25">
      <c r="A42" s="271">
        <v>595</v>
      </c>
      <c r="B42" s="264" t="s">
        <v>837</v>
      </c>
      <c r="C42" s="265" t="s">
        <v>838</v>
      </c>
      <c r="D42" s="220"/>
      <c r="E42" s="257"/>
      <c r="F42" s="261">
        <f>E42-D42</f>
        <v>0</v>
      </c>
    </row>
    <row r="43" spans="1:7" ht="16.5" thickBot="1" x14ac:dyDescent="0.25">
      <c r="A43" s="1155" t="s">
        <v>839</v>
      </c>
      <c r="B43" s="1156"/>
      <c r="C43" s="547" t="s">
        <v>840</v>
      </c>
      <c r="D43" s="548">
        <f>D40-D41-D42</f>
        <v>1445856</v>
      </c>
      <c r="E43" s="548">
        <f>E40-E41-E42</f>
        <v>581544.20000000298</v>
      </c>
      <c r="F43" s="546">
        <f>E43-D43</f>
        <v>-864311.79999999702</v>
      </c>
    </row>
  </sheetData>
  <mergeCells count="5">
    <mergeCell ref="A39:B39"/>
    <mergeCell ref="A40:B40"/>
    <mergeCell ref="A43:B43"/>
    <mergeCell ref="A1:F1"/>
    <mergeCell ref="A2:F2"/>
  </mergeCells>
  <pageMargins left="0.55118110236220474" right="0.47244094488188981" top="0.59055118110236227" bottom="0.47244094488188981" header="0.15748031496062992" footer="0.15748031496062992"/>
  <pageSetup paperSize="9" scale="8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3"/>
  <sheetViews>
    <sheetView topLeftCell="A31" zoomScaleNormal="100" workbookViewId="0">
      <selection activeCell="F43" sqref="F43"/>
    </sheetView>
  </sheetViews>
  <sheetFormatPr defaultRowHeight="12.75" x14ac:dyDescent="0.2"/>
  <cols>
    <col min="1" max="1" width="8.42578125" customWidth="1"/>
    <col min="2" max="2" width="42.140625" customWidth="1"/>
    <col min="3" max="3" width="10.140625" customWidth="1"/>
    <col min="4" max="4" width="17.42578125" customWidth="1"/>
    <col min="5" max="5" width="17.140625" customWidth="1"/>
    <col min="6" max="6" width="13.85546875" customWidth="1"/>
  </cols>
  <sheetData>
    <row r="1" spans="1:6" ht="61.5" customHeight="1" thickBot="1" x14ac:dyDescent="0.25">
      <c r="A1" s="1166" t="s">
        <v>1280</v>
      </c>
      <c r="B1" s="1167"/>
      <c r="C1" s="1167"/>
      <c r="D1" s="1167"/>
      <c r="E1" s="1167"/>
      <c r="F1" s="1168"/>
    </row>
    <row r="2" spans="1:6" ht="47.25" customHeight="1" thickBot="1" x14ac:dyDescent="0.25">
      <c r="A2" s="1163" t="s">
        <v>426</v>
      </c>
      <c r="B2" s="1164"/>
      <c r="C2" s="1164"/>
      <c r="D2" s="1164"/>
      <c r="E2" s="1164"/>
      <c r="F2" s="1165"/>
    </row>
    <row r="3" spans="1:6" ht="64.5" customHeight="1" thickBot="1" x14ac:dyDescent="0.25">
      <c r="A3" s="167" t="s">
        <v>690</v>
      </c>
      <c r="B3" s="170" t="s">
        <v>440</v>
      </c>
      <c r="C3" s="254" t="s">
        <v>228</v>
      </c>
      <c r="D3" s="168" t="s">
        <v>1080</v>
      </c>
      <c r="E3" s="544" t="s">
        <v>1281</v>
      </c>
      <c r="F3" s="545" t="s">
        <v>1282</v>
      </c>
    </row>
    <row r="4" spans="1:6" ht="15.75" x14ac:dyDescent="0.25">
      <c r="A4" s="396">
        <v>501</v>
      </c>
      <c r="B4" s="241" t="s">
        <v>691</v>
      </c>
      <c r="C4" s="225" t="s">
        <v>692</v>
      </c>
      <c r="D4" s="219">
        <v>844549</v>
      </c>
      <c r="E4" s="256">
        <v>1076501.99</v>
      </c>
      <c r="F4" s="261">
        <f>E4-D4</f>
        <v>231952.99</v>
      </c>
    </row>
    <row r="5" spans="1:6" ht="15.75" x14ac:dyDescent="0.25">
      <c r="A5" s="395">
        <v>502</v>
      </c>
      <c r="B5" s="242" t="s">
        <v>693</v>
      </c>
      <c r="C5" s="221" t="s">
        <v>694</v>
      </c>
      <c r="D5" s="220">
        <v>1838745</v>
      </c>
      <c r="E5" s="257">
        <v>1859789.75</v>
      </c>
      <c r="F5" s="549">
        <f t="shared" ref="F5:F40" si="0">E5-D5</f>
        <v>21044.75</v>
      </c>
    </row>
    <row r="6" spans="1:6" ht="15.75" x14ac:dyDescent="0.25">
      <c r="A6" s="395">
        <v>504</v>
      </c>
      <c r="B6" s="242" t="s">
        <v>695</v>
      </c>
      <c r="C6" s="221" t="s">
        <v>696</v>
      </c>
      <c r="D6" s="220">
        <v>49881</v>
      </c>
      <c r="E6" s="257">
        <v>52786.53</v>
      </c>
      <c r="F6" s="549">
        <f t="shared" si="0"/>
        <v>2905.5299999999988</v>
      </c>
    </row>
    <row r="7" spans="1:6" ht="15.75" x14ac:dyDescent="0.25">
      <c r="A7" s="395">
        <v>511</v>
      </c>
      <c r="B7" s="242" t="s">
        <v>697</v>
      </c>
      <c r="C7" s="221" t="s">
        <v>698</v>
      </c>
      <c r="D7" s="220">
        <v>1205399</v>
      </c>
      <c r="E7" s="257">
        <v>1754040.16</v>
      </c>
      <c r="F7" s="549">
        <f t="shared" si="0"/>
        <v>548641.15999999992</v>
      </c>
    </row>
    <row r="8" spans="1:6" ht="15.75" x14ac:dyDescent="0.25">
      <c r="A8" s="395">
        <v>512</v>
      </c>
      <c r="B8" s="242" t="s">
        <v>699</v>
      </c>
      <c r="C8" s="221" t="s">
        <v>700</v>
      </c>
      <c r="D8" s="220">
        <v>379</v>
      </c>
      <c r="E8" s="257">
        <v>296.63</v>
      </c>
      <c r="F8" s="549">
        <f t="shared" si="0"/>
        <v>-82.37</v>
      </c>
    </row>
    <row r="9" spans="1:6" ht="15.75" x14ac:dyDescent="0.25">
      <c r="A9" s="395">
        <v>513</v>
      </c>
      <c r="B9" s="242" t="s">
        <v>701</v>
      </c>
      <c r="C9" s="221" t="s">
        <v>702</v>
      </c>
      <c r="D9" s="220">
        <v>273</v>
      </c>
      <c r="E9" s="257">
        <v>259.01</v>
      </c>
      <c r="F9" s="549">
        <f t="shared" si="0"/>
        <v>-13.990000000000009</v>
      </c>
    </row>
    <row r="10" spans="1:6" ht="15.75" x14ac:dyDescent="0.25">
      <c r="A10" s="395">
        <v>518</v>
      </c>
      <c r="B10" s="242" t="s">
        <v>703</v>
      </c>
      <c r="C10" s="221" t="s">
        <v>704</v>
      </c>
      <c r="D10" s="220">
        <v>588043</v>
      </c>
      <c r="E10" s="257">
        <v>552178.61</v>
      </c>
      <c r="F10" s="549">
        <f t="shared" si="0"/>
        <v>-35864.390000000014</v>
      </c>
    </row>
    <row r="11" spans="1:6" ht="15.75" x14ac:dyDescent="0.25">
      <c r="A11" s="395">
        <v>521</v>
      </c>
      <c r="B11" s="242" t="s">
        <v>705</v>
      </c>
      <c r="C11" s="221" t="s">
        <v>706</v>
      </c>
      <c r="D11" s="220">
        <v>1926338</v>
      </c>
      <c r="E11" s="257">
        <v>2042221.68</v>
      </c>
      <c r="F11" s="549">
        <f t="shared" si="0"/>
        <v>115883.67999999993</v>
      </c>
    </row>
    <row r="12" spans="1:6" ht="15.75" x14ac:dyDescent="0.25">
      <c r="A12" s="395">
        <v>524</v>
      </c>
      <c r="B12" s="242" t="s">
        <v>707</v>
      </c>
      <c r="C12" s="221" t="s">
        <v>708</v>
      </c>
      <c r="D12" s="220">
        <v>667709</v>
      </c>
      <c r="E12" s="257">
        <v>706928.46</v>
      </c>
      <c r="F12" s="549">
        <f t="shared" si="0"/>
        <v>39219.459999999963</v>
      </c>
    </row>
    <row r="13" spans="1:6" ht="15.75" x14ac:dyDescent="0.25">
      <c r="A13" s="395">
        <v>525</v>
      </c>
      <c r="B13" s="242" t="s">
        <v>709</v>
      </c>
      <c r="C13" s="221" t="s">
        <v>710</v>
      </c>
      <c r="D13" s="220">
        <v>14907</v>
      </c>
      <c r="E13" s="257">
        <v>16622.91</v>
      </c>
      <c r="F13" s="549">
        <f t="shared" si="0"/>
        <v>1715.9099999999999</v>
      </c>
    </row>
    <row r="14" spans="1:6" ht="15.75" x14ac:dyDescent="0.25">
      <c r="A14" s="395">
        <v>527</v>
      </c>
      <c r="B14" s="242" t="s">
        <v>711</v>
      </c>
      <c r="C14" s="221" t="s">
        <v>712</v>
      </c>
      <c r="D14" s="220">
        <v>99330</v>
      </c>
      <c r="E14" s="257">
        <v>117916.92</v>
      </c>
      <c r="F14" s="549">
        <f t="shared" si="0"/>
        <v>18586.919999999998</v>
      </c>
    </row>
    <row r="15" spans="1:6" ht="15.75" x14ac:dyDescent="0.25">
      <c r="A15" s="395">
        <v>528</v>
      </c>
      <c r="B15" s="242" t="s">
        <v>713</v>
      </c>
      <c r="C15" s="221" t="s">
        <v>714</v>
      </c>
      <c r="D15" s="220"/>
      <c r="E15" s="257"/>
      <c r="F15" s="549">
        <f t="shared" si="0"/>
        <v>0</v>
      </c>
    </row>
    <row r="16" spans="1:6" ht="15.75" x14ac:dyDescent="0.25">
      <c r="A16" s="395">
        <v>531</v>
      </c>
      <c r="B16" s="242" t="s">
        <v>715</v>
      </c>
      <c r="C16" s="221" t="s">
        <v>716</v>
      </c>
      <c r="D16" s="220"/>
      <c r="E16" s="257"/>
      <c r="F16" s="549">
        <f t="shared" si="0"/>
        <v>0</v>
      </c>
    </row>
    <row r="17" spans="1:6" ht="15.75" x14ac:dyDescent="0.25">
      <c r="A17" s="395">
        <v>532</v>
      </c>
      <c r="B17" s="242" t="s">
        <v>717</v>
      </c>
      <c r="C17" s="221" t="s">
        <v>718</v>
      </c>
      <c r="D17" s="220">
        <v>140053</v>
      </c>
      <c r="E17" s="257">
        <v>140052.93</v>
      </c>
      <c r="F17" s="549">
        <f t="shared" si="0"/>
        <v>-7.0000000006984919E-2</v>
      </c>
    </row>
    <row r="18" spans="1:6" ht="15.75" x14ac:dyDescent="0.25">
      <c r="A18" s="395">
        <v>538</v>
      </c>
      <c r="B18" s="242" t="s">
        <v>719</v>
      </c>
      <c r="C18" s="221" t="s">
        <v>720</v>
      </c>
      <c r="D18" s="220">
        <v>525</v>
      </c>
      <c r="E18" s="257">
        <v>336.38</v>
      </c>
      <c r="F18" s="549">
        <f t="shared" si="0"/>
        <v>-188.62</v>
      </c>
    </row>
    <row r="19" spans="1:6" ht="15.75" x14ac:dyDescent="0.25">
      <c r="A19" s="395">
        <v>541</v>
      </c>
      <c r="B19" s="242" t="s">
        <v>721</v>
      </c>
      <c r="C19" s="221" t="s">
        <v>722</v>
      </c>
      <c r="D19" s="220"/>
      <c r="E19" s="257"/>
      <c r="F19" s="549">
        <f t="shared" si="0"/>
        <v>0</v>
      </c>
    </row>
    <row r="20" spans="1:6" ht="15.75" x14ac:dyDescent="0.25">
      <c r="A20" s="395">
        <v>542</v>
      </c>
      <c r="B20" s="242" t="s">
        <v>723</v>
      </c>
      <c r="C20" s="221" t="s">
        <v>724</v>
      </c>
      <c r="D20" s="220"/>
      <c r="E20" s="257">
        <v>5</v>
      </c>
      <c r="F20" s="549">
        <f t="shared" si="0"/>
        <v>5</v>
      </c>
    </row>
    <row r="21" spans="1:6" ht="15.75" x14ac:dyDescent="0.25">
      <c r="A21" s="395">
        <v>543</v>
      </c>
      <c r="B21" s="242" t="s">
        <v>725</v>
      </c>
      <c r="C21" s="221" t="s">
        <v>726</v>
      </c>
      <c r="D21" s="220"/>
      <c r="E21" s="257"/>
      <c r="F21" s="549">
        <f t="shared" si="0"/>
        <v>0</v>
      </c>
    </row>
    <row r="22" spans="1:6" ht="15.75" x14ac:dyDescent="0.25">
      <c r="A22" s="395">
        <v>544</v>
      </c>
      <c r="B22" s="242" t="s">
        <v>727</v>
      </c>
      <c r="C22" s="221" t="s">
        <v>728</v>
      </c>
      <c r="D22" s="220"/>
      <c r="E22" s="257"/>
      <c r="F22" s="549">
        <f t="shared" si="0"/>
        <v>0</v>
      </c>
    </row>
    <row r="23" spans="1:6" ht="15.75" x14ac:dyDescent="0.25">
      <c r="A23" s="395">
        <v>545</v>
      </c>
      <c r="B23" s="242" t="s">
        <v>729</v>
      </c>
      <c r="C23" s="221" t="s">
        <v>730</v>
      </c>
      <c r="D23" s="220"/>
      <c r="E23" s="257"/>
      <c r="F23" s="549">
        <f t="shared" si="0"/>
        <v>0</v>
      </c>
    </row>
    <row r="24" spans="1:6" ht="15.75" x14ac:dyDescent="0.25">
      <c r="A24" s="395">
        <v>546</v>
      </c>
      <c r="B24" s="242" t="s">
        <v>731</v>
      </c>
      <c r="C24" s="221" t="s">
        <v>732</v>
      </c>
      <c r="D24" s="220"/>
      <c r="E24" s="257"/>
      <c r="F24" s="549">
        <f t="shared" si="0"/>
        <v>0</v>
      </c>
    </row>
    <row r="25" spans="1:6" ht="15.75" x14ac:dyDescent="0.25">
      <c r="A25" s="395">
        <v>547</v>
      </c>
      <c r="B25" s="242" t="s">
        <v>733</v>
      </c>
      <c r="C25" s="221" t="s">
        <v>734</v>
      </c>
      <c r="D25" s="220"/>
      <c r="E25" s="257"/>
      <c r="F25" s="549">
        <f t="shared" si="0"/>
        <v>0</v>
      </c>
    </row>
    <row r="26" spans="1:6" ht="15.75" x14ac:dyDescent="0.25">
      <c r="A26" s="395">
        <v>548</v>
      </c>
      <c r="B26" s="242" t="s">
        <v>735</v>
      </c>
      <c r="C26" s="221" t="s">
        <v>736</v>
      </c>
      <c r="D26" s="220">
        <v>2364</v>
      </c>
      <c r="E26" s="257">
        <v>40.909999999999997</v>
      </c>
      <c r="F26" s="549">
        <f t="shared" si="0"/>
        <v>-2323.09</v>
      </c>
    </row>
    <row r="27" spans="1:6" ht="15.75" x14ac:dyDescent="0.25">
      <c r="A27" s="395">
        <v>549</v>
      </c>
      <c r="B27" s="242" t="s">
        <v>737</v>
      </c>
      <c r="C27" s="221" t="s">
        <v>738</v>
      </c>
      <c r="D27" s="220">
        <v>15827</v>
      </c>
      <c r="E27" s="257">
        <v>-17239.96</v>
      </c>
      <c r="F27" s="549">
        <f t="shared" si="0"/>
        <v>-33066.959999999999</v>
      </c>
    </row>
    <row r="28" spans="1:6" ht="15.75" x14ac:dyDescent="0.25">
      <c r="A28" s="395">
        <v>551</v>
      </c>
      <c r="B28" s="242" t="s">
        <v>739</v>
      </c>
      <c r="C28" s="221" t="s">
        <v>740</v>
      </c>
      <c r="D28" s="220">
        <v>117308</v>
      </c>
      <c r="E28" s="257">
        <v>127804.83</v>
      </c>
      <c r="F28" s="549">
        <f t="shared" si="0"/>
        <v>10496.830000000002</v>
      </c>
    </row>
    <row r="29" spans="1:6" ht="15.75" x14ac:dyDescent="0.25">
      <c r="A29" s="397">
        <v>552</v>
      </c>
      <c r="B29" s="242" t="s">
        <v>888</v>
      </c>
      <c r="C29" s="221" t="s">
        <v>741</v>
      </c>
      <c r="D29" s="220"/>
      <c r="E29" s="257"/>
      <c r="F29" s="549">
        <f t="shared" si="0"/>
        <v>0</v>
      </c>
    </row>
    <row r="30" spans="1:6" ht="15.75" x14ac:dyDescent="0.25">
      <c r="A30" s="397">
        <v>553</v>
      </c>
      <c r="B30" s="242" t="s">
        <v>742</v>
      </c>
      <c r="C30" s="221" t="s">
        <v>743</v>
      </c>
      <c r="D30" s="220"/>
      <c r="E30" s="257"/>
      <c r="F30" s="549">
        <f t="shared" si="0"/>
        <v>0</v>
      </c>
    </row>
    <row r="31" spans="1:6" ht="15.75" x14ac:dyDescent="0.25">
      <c r="A31" s="397">
        <v>554</v>
      </c>
      <c r="B31" s="242" t="s">
        <v>744</v>
      </c>
      <c r="C31" s="221" t="s">
        <v>745</v>
      </c>
      <c r="D31" s="220"/>
      <c r="E31" s="257"/>
      <c r="F31" s="549">
        <f t="shared" si="0"/>
        <v>0</v>
      </c>
    </row>
    <row r="32" spans="1:6" ht="15.75" x14ac:dyDescent="0.25">
      <c r="A32" s="397">
        <v>555</v>
      </c>
      <c r="B32" s="242" t="s">
        <v>746</v>
      </c>
      <c r="C32" s="221" t="s">
        <v>747</v>
      </c>
      <c r="D32" s="220"/>
      <c r="E32" s="257"/>
      <c r="F32" s="549">
        <f t="shared" si="0"/>
        <v>0</v>
      </c>
    </row>
    <row r="33" spans="1:7" ht="15.75" x14ac:dyDescent="0.25">
      <c r="A33" s="397">
        <v>556</v>
      </c>
      <c r="B33" s="242" t="s">
        <v>748</v>
      </c>
      <c r="C33" s="221" t="s">
        <v>749</v>
      </c>
      <c r="D33" s="220">
        <v>233816</v>
      </c>
      <c r="E33" s="257">
        <v>231899.73</v>
      </c>
      <c r="F33" s="549">
        <f t="shared" si="0"/>
        <v>-1916.2699999999895</v>
      </c>
      <c r="G33" s="733"/>
    </row>
    <row r="34" spans="1:7" ht="15.75" x14ac:dyDescent="0.25">
      <c r="A34" s="397">
        <v>557</v>
      </c>
      <c r="B34" s="242" t="s">
        <v>750</v>
      </c>
      <c r="C34" s="221" t="s">
        <v>751</v>
      </c>
      <c r="D34" s="220"/>
      <c r="E34" s="257"/>
      <c r="F34" s="549">
        <f t="shared" si="0"/>
        <v>0</v>
      </c>
    </row>
    <row r="35" spans="1:7" ht="15.75" x14ac:dyDescent="0.25">
      <c r="A35" s="397">
        <v>558</v>
      </c>
      <c r="B35" s="242" t="s">
        <v>752</v>
      </c>
      <c r="C35" s="221" t="s">
        <v>753</v>
      </c>
      <c r="D35" s="220"/>
      <c r="E35" s="257">
        <v>-2497.2600000000002</v>
      </c>
      <c r="F35" s="549">
        <f t="shared" si="0"/>
        <v>-2497.2600000000002</v>
      </c>
    </row>
    <row r="36" spans="1:7" ht="20.25" customHeight="1" x14ac:dyDescent="0.25">
      <c r="A36" s="397">
        <v>561</v>
      </c>
      <c r="B36" s="242" t="s">
        <v>755</v>
      </c>
      <c r="C36" s="221" t="s">
        <v>754</v>
      </c>
      <c r="D36" s="220"/>
      <c r="E36" s="257"/>
      <c r="F36" s="549">
        <f t="shared" si="0"/>
        <v>0</v>
      </c>
    </row>
    <row r="37" spans="1:7" ht="15.75" x14ac:dyDescent="0.25">
      <c r="A37" s="397">
        <v>562</v>
      </c>
      <c r="B37" s="242" t="s">
        <v>757</v>
      </c>
      <c r="C37" s="221" t="s">
        <v>756</v>
      </c>
      <c r="D37" s="220">
        <v>26344</v>
      </c>
      <c r="E37" s="257">
        <v>44344</v>
      </c>
      <c r="F37" s="549">
        <f t="shared" si="0"/>
        <v>18000</v>
      </c>
    </row>
    <row r="38" spans="1:7" ht="15.75" x14ac:dyDescent="0.25">
      <c r="A38" s="397">
        <v>563</v>
      </c>
      <c r="B38" s="242" t="s">
        <v>759</v>
      </c>
      <c r="C38" s="221" t="s">
        <v>758</v>
      </c>
      <c r="D38" s="220"/>
      <c r="E38" s="257"/>
      <c r="F38" s="549">
        <f t="shared" si="0"/>
        <v>0</v>
      </c>
    </row>
    <row r="39" spans="1:7" ht="15.75" x14ac:dyDescent="0.25">
      <c r="A39" s="398">
        <v>565</v>
      </c>
      <c r="B39" s="409" t="s">
        <v>887</v>
      </c>
      <c r="C39" s="221" t="s">
        <v>760</v>
      </c>
      <c r="D39" s="252"/>
      <c r="E39" s="258"/>
      <c r="F39" s="549">
        <f t="shared" si="0"/>
        <v>0</v>
      </c>
    </row>
    <row r="40" spans="1:7" ht="16.5" thickBot="1" x14ac:dyDescent="0.3">
      <c r="A40" s="398">
        <v>567</v>
      </c>
      <c r="B40" s="243" t="s">
        <v>761</v>
      </c>
      <c r="C40" s="222" t="s">
        <v>762</v>
      </c>
      <c r="D40" s="252"/>
      <c r="E40" s="258"/>
      <c r="F40" s="550">
        <f t="shared" si="0"/>
        <v>0</v>
      </c>
    </row>
    <row r="41" spans="1:7" ht="24.75" customHeight="1" thickBot="1" x14ac:dyDescent="0.25">
      <c r="A41" s="1169" t="s">
        <v>968</v>
      </c>
      <c r="B41" s="1170"/>
      <c r="C41" s="394" t="s">
        <v>763</v>
      </c>
      <c r="D41" s="223">
        <v>7771789</v>
      </c>
      <c r="E41" s="518">
        <f>SUM(E4:E40)</f>
        <v>8704289.209999999</v>
      </c>
      <c r="F41" s="551">
        <f>SUM(F4:F40)</f>
        <v>932499.20999999985</v>
      </c>
    </row>
    <row r="42" spans="1:7" x14ac:dyDescent="0.2">
      <c r="B42" s="171"/>
      <c r="C42" s="171"/>
      <c r="D42" s="171"/>
      <c r="E42" s="171"/>
    </row>
    <row r="43" spans="1:7" x14ac:dyDescent="0.2">
      <c r="F43" s="733"/>
    </row>
  </sheetData>
  <mergeCells count="3">
    <mergeCell ref="A2:F2"/>
    <mergeCell ref="A1:F1"/>
    <mergeCell ref="A41:B41"/>
  </mergeCells>
  <pageMargins left="0.39370078740157483" right="0.23622047244094491" top="0.59055118110236227"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enableFormatConditionsCalculation="0">
    <tabColor indexed="60"/>
    <pageSetUpPr fitToPage="1"/>
  </sheetPr>
  <dimension ref="A1:C103"/>
  <sheetViews>
    <sheetView zoomScale="85" zoomScaleNormal="85" workbookViewId="0">
      <pane xSplit="1" ySplit="2" topLeftCell="B66" activePane="bottomRight" state="frozen"/>
      <selection pane="topRight" activeCell="B1" sqref="B1"/>
      <selection pane="bottomLeft" activeCell="A3" sqref="A3"/>
      <selection pane="bottomRight" activeCell="A72" sqref="A72"/>
    </sheetView>
  </sheetViews>
  <sheetFormatPr defaultRowHeight="15.75" x14ac:dyDescent="0.2"/>
  <cols>
    <col min="1" max="1" width="19.5703125" style="35" customWidth="1"/>
    <col min="2" max="2" width="113" style="11" customWidth="1"/>
    <col min="3" max="3" width="19.5703125" customWidth="1"/>
  </cols>
  <sheetData>
    <row r="1" spans="1:3" ht="19.5" thickBot="1" x14ac:dyDescent="0.3">
      <c r="A1" s="914" t="s">
        <v>1307</v>
      </c>
      <c r="B1" s="915"/>
      <c r="C1" s="474"/>
    </row>
    <row r="2" spans="1:3" x14ac:dyDescent="0.2">
      <c r="A2" s="244" t="s">
        <v>248</v>
      </c>
      <c r="B2" s="244" t="s">
        <v>322</v>
      </c>
    </row>
    <row r="3" spans="1:3" ht="144.75" customHeight="1" x14ac:dyDescent="0.2">
      <c r="A3" s="480" t="s">
        <v>249</v>
      </c>
      <c r="B3" s="246" t="s">
        <v>344</v>
      </c>
    </row>
    <row r="4" spans="1:3" ht="56.25" customHeight="1" x14ac:dyDescent="0.2">
      <c r="A4" s="480" t="s">
        <v>250</v>
      </c>
      <c r="B4" s="480" t="s">
        <v>85</v>
      </c>
    </row>
    <row r="5" spans="1:3" ht="47.25" x14ac:dyDescent="0.2">
      <c r="A5" s="480" t="s">
        <v>42</v>
      </c>
      <c r="B5" s="246" t="s">
        <v>1308</v>
      </c>
    </row>
    <row r="6" spans="1:3" ht="302.25" customHeight="1" x14ac:dyDescent="0.2">
      <c r="A6" s="480" t="s">
        <v>43</v>
      </c>
      <c r="B6" s="480" t="s">
        <v>924</v>
      </c>
    </row>
    <row r="7" spans="1:3" ht="38.25" customHeight="1" x14ac:dyDescent="0.2">
      <c r="A7" s="480" t="s">
        <v>44</v>
      </c>
      <c r="B7" s="246" t="s">
        <v>1407</v>
      </c>
    </row>
    <row r="8" spans="1:3" ht="54" customHeight="1" x14ac:dyDescent="0.2">
      <c r="A8" s="245" t="s">
        <v>247</v>
      </c>
      <c r="B8" s="245" t="s">
        <v>886</v>
      </c>
    </row>
    <row r="9" spans="1:3" ht="21" customHeight="1" x14ac:dyDescent="0.2">
      <c r="A9" s="246" t="s">
        <v>866</v>
      </c>
      <c r="B9" s="246" t="s">
        <v>1365</v>
      </c>
    </row>
    <row r="10" spans="1:3" ht="31.5" x14ac:dyDescent="0.2">
      <c r="A10" s="251" t="s">
        <v>108</v>
      </c>
      <c r="B10" s="247" t="s">
        <v>867</v>
      </c>
    </row>
    <row r="11" spans="1:3" ht="66" customHeight="1" x14ac:dyDescent="0.2">
      <c r="A11" s="245" t="s">
        <v>241</v>
      </c>
      <c r="B11" s="245" t="s">
        <v>857</v>
      </c>
    </row>
    <row r="12" spans="1:3" ht="78.75" x14ac:dyDescent="0.2">
      <c r="A12" s="248" t="s">
        <v>242</v>
      </c>
      <c r="B12" s="248" t="s">
        <v>955</v>
      </c>
    </row>
    <row r="13" spans="1:3" ht="36" customHeight="1" x14ac:dyDescent="0.2">
      <c r="A13" s="250" t="s">
        <v>243</v>
      </c>
      <c r="B13" s="340" t="s">
        <v>404</v>
      </c>
    </row>
    <row r="14" spans="1:3" ht="66.75" customHeight="1" x14ac:dyDescent="0.2">
      <c r="A14" s="246" t="s">
        <v>244</v>
      </c>
      <c r="B14" s="304" t="s">
        <v>937</v>
      </c>
      <c r="C14" s="125"/>
    </row>
    <row r="15" spans="1:3" ht="84" customHeight="1" x14ac:dyDescent="0.2">
      <c r="A15" s="246" t="s">
        <v>245</v>
      </c>
      <c r="B15" s="304" t="s">
        <v>1368</v>
      </c>
    </row>
    <row r="16" spans="1:3" ht="21.75" customHeight="1" x14ac:dyDescent="0.2">
      <c r="A16" s="246" t="s">
        <v>38</v>
      </c>
      <c r="B16" s="246" t="s">
        <v>858</v>
      </c>
    </row>
    <row r="17" spans="1:2" ht="52.5" customHeight="1" x14ac:dyDescent="0.2">
      <c r="A17" s="245" t="s">
        <v>30</v>
      </c>
      <c r="B17" s="245" t="s">
        <v>1457</v>
      </c>
    </row>
    <row r="18" spans="1:2" ht="57.75" customHeight="1" x14ac:dyDescent="0.2">
      <c r="A18" s="480" t="s">
        <v>238</v>
      </c>
      <c r="B18" s="480" t="s">
        <v>1309</v>
      </c>
    </row>
    <row r="19" spans="1:2" ht="48" customHeight="1" x14ac:dyDescent="0.2">
      <c r="A19" s="447" t="s">
        <v>1310</v>
      </c>
      <c r="B19" s="447" t="s">
        <v>1464</v>
      </c>
    </row>
    <row r="20" spans="1:2" ht="33" customHeight="1" x14ac:dyDescent="0.2">
      <c r="A20" s="366" t="s">
        <v>326</v>
      </c>
      <c r="B20" s="366" t="s">
        <v>275</v>
      </c>
    </row>
    <row r="21" spans="1:2" ht="17.25" customHeight="1" x14ac:dyDescent="0.2">
      <c r="A21" s="480" t="s">
        <v>1134</v>
      </c>
      <c r="B21" s="480" t="s">
        <v>1136</v>
      </c>
    </row>
    <row r="22" spans="1:2" ht="31.5" x14ac:dyDescent="0.2">
      <c r="A22" s="480" t="s">
        <v>1116</v>
      </c>
      <c r="B22" s="480" t="s">
        <v>1135</v>
      </c>
    </row>
    <row r="23" spans="1:2" ht="18" customHeight="1" x14ac:dyDescent="0.2">
      <c r="A23" s="480" t="s">
        <v>890</v>
      </c>
      <c r="B23" s="480" t="s">
        <v>1137</v>
      </c>
    </row>
    <row r="24" spans="1:2" ht="20.25" customHeight="1" x14ac:dyDescent="0.2">
      <c r="A24" s="480" t="s">
        <v>1117</v>
      </c>
      <c r="B24" s="480" t="s">
        <v>891</v>
      </c>
    </row>
    <row r="25" spans="1:2" ht="19.5" customHeight="1" x14ac:dyDescent="0.2">
      <c r="A25" s="480" t="s">
        <v>1152</v>
      </c>
      <c r="B25" s="446" t="s">
        <v>1312</v>
      </c>
    </row>
    <row r="26" spans="1:2" ht="21" customHeight="1" x14ac:dyDescent="0.2">
      <c r="A26" s="480" t="s">
        <v>1142</v>
      </c>
      <c r="B26" s="480" t="s">
        <v>1313</v>
      </c>
    </row>
    <row r="27" spans="1:2" ht="36" customHeight="1" x14ac:dyDescent="0.2">
      <c r="A27" s="480" t="s">
        <v>1143</v>
      </c>
      <c r="B27" s="480" t="s">
        <v>1144</v>
      </c>
    </row>
    <row r="28" spans="1:2" ht="55.5" customHeight="1" x14ac:dyDescent="0.2">
      <c r="A28" s="245" t="s">
        <v>22</v>
      </c>
      <c r="B28" s="245" t="s">
        <v>1458</v>
      </c>
    </row>
    <row r="29" spans="1:2" ht="73.5" customHeight="1" x14ac:dyDescent="0.2">
      <c r="A29" s="480" t="s">
        <v>239</v>
      </c>
      <c r="B29" s="480" t="s">
        <v>1311</v>
      </c>
    </row>
    <row r="30" spans="1:2" ht="48.75" customHeight="1" x14ac:dyDescent="0.2">
      <c r="A30" s="447" t="s">
        <v>1314</v>
      </c>
      <c r="B30" s="447" t="s">
        <v>1465</v>
      </c>
    </row>
    <row r="31" spans="1:2" ht="35.25" customHeight="1" x14ac:dyDescent="0.2">
      <c r="A31" s="245" t="s">
        <v>177</v>
      </c>
      <c r="B31" s="245" t="s">
        <v>688</v>
      </c>
    </row>
    <row r="32" spans="1:2" s="117" customFormat="1" ht="213.6" customHeight="1" x14ac:dyDescent="0.2">
      <c r="A32" s="480" t="s">
        <v>374</v>
      </c>
      <c r="B32" s="246" t="s">
        <v>925</v>
      </c>
    </row>
    <row r="33" spans="1:3" ht="31.5" x14ac:dyDescent="0.2">
      <c r="A33" s="250" t="s">
        <v>276</v>
      </c>
      <c r="B33" s="349" t="s">
        <v>1369</v>
      </c>
    </row>
    <row r="34" spans="1:3" ht="78.75" x14ac:dyDescent="0.2">
      <c r="A34" s="246" t="s">
        <v>277</v>
      </c>
      <c r="B34" s="246" t="s">
        <v>223</v>
      </c>
      <c r="C34" s="364"/>
    </row>
    <row r="35" spans="1:3" ht="31.5" x14ac:dyDescent="0.2">
      <c r="A35" s="250" t="s">
        <v>278</v>
      </c>
      <c r="B35" s="250" t="s">
        <v>170</v>
      </c>
    </row>
    <row r="36" spans="1:3" ht="18" customHeight="1" x14ac:dyDescent="0.2">
      <c r="A36" s="250" t="s">
        <v>279</v>
      </c>
      <c r="B36" s="250" t="s">
        <v>171</v>
      </c>
    </row>
    <row r="37" spans="1:3" ht="18" customHeight="1" x14ac:dyDescent="0.2">
      <c r="A37" s="250" t="s">
        <v>280</v>
      </c>
      <c r="B37" s="250" t="s">
        <v>194</v>
      </c>
    </row>
    <row r="38" spans="1:3" ht="17.25" customHeight="1" x14ac:dyDescent="0.2">
      <c r="A38" s="250" t="s">
        <v>281</v>
      </c>
      <c r="B38" s="250" t="s">
        <v>846</v>
      </c>
    </row>
    <row r="39" spans="1:3" ht="78.75" x14ac:dyDescent="0.2">
      <c r="A39" s="250" t="s">
        <v>340</v>
      </c>
      <c r="B39" s="250" t="s">
        <v>1315</v>
      </c>
    </row>
    <row r="40" spans="1:3" ht="36.75" customHeight="1" x14ac:dyDescent="0.2">
      <c r="A40" s="250" t="s">
        <v>172</v>
      </c>
      <c r="B40" s="250" t="s">
        <v>1316</v>
      </c>
    </row>
    <row r="41" spans="1:3" ht="45" customHeight="1" x14ac:dyDescent="0.2">
      <c r="A41" s="250" t="s">
        <v>173</v>
      </c>
      <c r="B41" s="250" t="s">
        <v>1317</v>
      </c>
    </row>
    <row r="42" spans="1:3" ht="62.25" customHeight="1" x14ac:dyDescent="0.2">
      <c r="A42" s="250" t="s">
        <v>174</v>
      </c>
      <c r="B42" s="246" t="s">
        <v>1147</v>
      </c>
      <c r="C42" s="364"/>
    </row>
    <row r="43" spans="1:3" ht="31.5" x14ac:dyDescent="0.2">
      <c r="A43" s="250" t="s">
        <v>175</v>
      </c>
      <c r="B43" s="250" t="s">
        <v>859</v>
      </c>
    </row>
    <row r="44" spans="1:3" ht="20.25" customHeight="1" x14ac:dyDescent="0.2">
      <c r="A44" s="246" t="s">
        <v>176</v>
      </c>
      <c r="B44" s="246" t="s">
        <v>81</v>
      </c>
    </row>
    <row r="45" spans="1:3" ht="30" customHeight="1" x14ac:dyDescent="0.2">
      <c r="A45" s="366" t="s">
        <v>1318</v>
      </c>
      <c r="B45" s="366" t="s">
        <v>1146</v>
      </c>
    </row>
    <row r="46" spans="1:3" ht="33.75" customHeight="1" x14ac:dyDescent="0.2">
      <c r="A46" s="246" t="s">
        <v>23</v>
      </c>
      <c r="B46" s="246" t="s">
        <v>1408</v>
      </c>
    </row>
    <row r="47" spans="1:3" ht="65.25" customHeight="1" x14ac:dyDescent="0.2">
      <c r="A47" s="250" t="s">
        <v>960</v>
      </c>
      <c r="B47" s="250" t="s">
        <v>1409</v>
      </c>
    </row>
    <row r="48" spans="1:3" ht="105" customHeight="1" x14ac:dyDescent="0.2">
      <c r="A48" s="246" t="s">
        <v>868</v>
      </c>
      <c r="B48" s="249" t="s">
        <v>1412</v>
      </c>
    </row>
    <row r="49" spans="1:2" ht="48" customHeight="1" x14ac:dyDescent="0.2">
      <c r="A49" s="250" t="s">
        <v>961</v>
      </c>
      <c r="B49" s="250" t="s">
        <v>1413</v>
      </c>
    </row>
    <row r="50" spans="1:2" ht="25.5" customHeight="1" x14ac:dyDescent="0.2">
      <c r="A50" s="249" t="s">
        <v>240</v>
      </c>
      <c r="B50" s="249" t="s">
        <v>962</v>
      </c>
    </row>
    <row r="51" spans="1:2" ht="36" customHeight="1" x14ac:dyDescent="0.2">
      <c r="A51" s="419" t="s">
        <v>46</v>
      </c>
      <c r="B51" s="419" t="s">
        <v>1410</v>
      </c>
    </row>
    <row r="52" spans="1:2" ht="34.5" customHeight="1" x14ac:dyDescent="0.2">
      <c r="A52" s="419" t="s">
        <v>964</v>
      </c>
      <c r="B52" s="419" t="s">
        <v>1411</v>
      </c>
    </row>
    <row r="53" spans="1:2" ht="33.75" customHeight="1" x14ac:dyDescent="0.2">
      <c r="A53" s="245" t="s">
        <v>282</v>
      </c>
      <c r="B53" s="245" t="s">
        <v>290</v>
      </c>
    </row>
    <row r="54" spans="1:2" ht="31.5" x14ac:dyDescent="0.2">
      <c r="A54" s="304" t="s">
        <v>1086</v>
      </c>
      <c r="B54" s="304" t="s">
        <v>1414</v>
      </c>
    </row>
    <row r="55" spans="1:2" ht="33" customHeight="1" x14ac:dyDescent="0.2">
      <c r="A55" s="246" t="s">
        <v>195</v>
      </c>
      <c r="B55" s="246" t="s">
        <v>860</v>
      </c>
    </row>
    <row r="56" spans="1:2" ht="63" x14ac:dyDescent="0.2">
      <c r="A56" s="245" t="s">
        <v>24</v>
      </c>
      <c r="B56" s="245" t="s">
        <v>926</v>
      </c>
    </row>
    <row r="57" spans="1:2" x14ac:dyDescent="0.2">
      <c r="A57" s="250" t="s">
        <v>436</v>
      </c>
      <c r="B57" s="349" t="s">
        <v>936</v>
      </c>
    </row>
    <row r="58" spans="1:2" ht="31.5" x14ac:dyDescent="0.2">
      <c r="A58" s="246" t="s">
        <v>83</v>
      </c>
      <c r="B58" s="246" t="s">
        <v>196</v>
      </c>
    </row>
    <row r="59" spans="1:2" ht="18.600000000000001" customHeight="1" x14ac:dyDescent="0.2">
      <c r="A59" s="250" t="s">
        <v>877</v>
      </c>
      <c r="B59" s="250" t="s">
        <v>1370</v>
      </c>
    </row>
    <row r="60" spans="1:2" ht="50.25" customHeight="1" x14ac:dyDescent="0.2">
      <c r="A60" s="245" t="s">
        <v>325</v>
      </c>
      <c r="B60" s="245" t="s">
        <v>927</v>
      </c>
    </row>
    <row r="61" spans="1:2" s="117" customFormat="1" ht="31.5" x14ac:dyDescent="0.2">
      <c r="A61" s="245" t="s">
        <v>220</v>
      </c>
      <c r="B61" s="245" t="s">
        <v>928</v>
      </c>
    </row>
    <row r="62" spans="1:2" s="117" customFormat="1" x14ac:dyDescent="0.2">
      <c r="A62" s="366" t="s">
        <v>399</v>
      </c>
      <c r="B62" s="366" t="s">
        <v>1429</v>
      </c>
    </row>
    <row r="63" spans="1:2" s="117" customFormat="1" ht="31.5" x14ac:dyDescent="0.2">
      <c r="A63" s="304" t="s">
        <v>291</v>
      </c>
      <c r="B63" s="304" t="s">
        <v>197</v>
      </c>
    </row>
    <row r="64" spans="1:2" s="117" customFormat="1" ht="31.5" x14ac:dyDescent="0.2">
      <c r="A64" s="349" t="s">
        <v>432</v>
      </c>
      <c r="B64" s="349" t="s">
        <v>1415</v>
      </c>
    </row>
    <row r="65" spans="1:3" s="117" customFormat="1" ht="34.5" x14ac:dyDescent="0.2">
      <c r="A65" s="349" t="s">
        <v>935</v>
      </c>
      <c r="B65" s="350" t="s">
        <v>862</v>
      </c>
    </row>
    <row r="66" spans="1:3" s="117" customFormat="1" ht="22.5" customHeight="1" x14ac:dyDescent="0.2">
      <c r="A66" s="349" t="s">
        <v>944</v>
      </c>
      <c r="B66" s="350" t="s">
        <v>863</v>
      </c>
    </row>
    <row r="67" spans="1:3" ht="47.25" x14ac:dyDescent="0.2">
      <c r="A67" s="245" t="s">
        <v>25</v>
      </c>
      <c r="B67" s="245" t="s">
        <v>210</v>
      </c>
    </row>
    <row r="68" spans="1:3" ht="31.5" x14ac:dyDescent="0.2">
      <c r="A68" s="246" t="s">
        <v>154</v>
      </c>
      <c r="B68" s="246" t="s">
        <v>155</v>
      </c>
    </row>
    <row r="69" spans="1:3" ht="47.25" x14ac:dyDescent="0.2">
      <c r="A69" s="349" t="s">
        <v>901</v>
      </c>
      <c r="B69" s="349" t="s">
        <v>1319</v>
      </c>
    </row>
    <row r="70" spans="1:3" ht="47.25" x14ac:dyDescent="0.2">
      <c r="A70" s="349" t="s">
        <v>902</v>
      </c>
      <c r="B70" s="349" t="s">
        <v>1417</v>
      </c>
      <c r="C70" s="473"/>
    </row>
    <row r="71" spans="1:3" ht="47.25" x14ac:dyDescent="0.2">
      <c r="A71" s="304" t="s">
        <v>153</v>
      </c>
      <c r="B71" s="304" t="s">
        <v>1416</v>
      </c>
    </row>
    <row r="72" spans="1:3" ht="47.25" x14ac:dyDescent="0.2">
      <c r="A72" s="349" t="s">
        <v>903</v>
      </c>
      <c r="B72" s="304" t="s">
        <v>923</v>
      </c>
    </row>
    <row r="73" spans="1:3" s="121" customFormat="1" ht="31.5" x14ac:dyDescent="0.2">
      <c r="A73" s="245" t="s">
        <v>26</v>
      </c>
      <c r="B73" s="245" t="s">
        <v>1320</v>
      </c>
    </row>
    <row r="74" spans="1:3" s="117" customFormat="1" ht="31.5" x14ac:dyDescent="0.2">
      <c r="A74" s="246" t="s">
        <v>221</v>
      </c>
      <c r="B74" s="246" t="s">
        <v>222</v>
      </c>
    </row>
    <row r="75" spans="1:3" ht="31.5" x14ac:dyDescent="0.2">
      <c r="A75" s="246" t="s">
        <v>1418</v>
      </c>
      <c r="B75" s="246" t="s">
        <v>1321</v>
      </c>
      <c r="C75" s="489"/>
    </row>
    <row r="76" spans="1:3" ht="34.5" customHeight="1" x14ac:dyDescent="0.2">
      <c r="A76" s="245" t="s">
        <v>375</v>
      </c>
      <c r="B76" s="245" t="s">
        <v>1322</v>
      </c>
      <c r="C76" s="489"/>
    </row>
    <row r="77" spans="1:3" ht="34.5" customHeight="1" x14ac:dyDescent="0.2">
      <c r="A77" s="304" t="s">
        <v>357</v>
      </c>
      <c r="B77" s="304" t="s">
        <v>1419</v>
      </c>
      <c r="C77" s="489"/>
    </row>
    <row r="78" spans="1:3" ht="21" customHeight="1" x14ac:dyDescent="0.2">
      <c r="A78" s="246" t="s">
        <v>376</v>
      </c>
      <c r="B78" s="246" t="s">
        <v>1150</v>
      </c>
      <c r="C78" s="489"/>
    </row>
    <row r="79" spans="1:3" ht="53.25" customHeight="1" x14ac:dyDescent="0.2">
      <c r="A79" s="250" t="s">
        <v>39</v>
      </c>
      <c r="B79" s="250" t="s">
        <v>235</v>
      </c>
    </row>
    <row r="80" spans="1:3" ht="36" customHeight="1" x14ac:dyDescent="0.2">
      <c r="A80" s="246" t="s">
        <v>80</v>
      </c>
      <c r="B80" s="246" t="s">
        <v>1323</v>
      </c>
    </row>
    <row r="81" spans="1:2" ht="33.75" customHeight="1" x14ac:dyDescent="0.2">
      <c r="A81" s="326" t="s">
        <v>864</v>
      </c>
      <c r="B81" s="349" t="s">
        <v>1420</v>
      </c>
    </row>
    <row r="82" spans="1:2" ht="84.75" customHeight="1" x14ac:dyDescent="0.2">
      <c r="A82" s="245" t="s">
        <v>178</v>
      </c>
      <c r="B82" s="245" t="s">
        <v>1366</v>
      </c>
    </row>
    <row r="83" spans="1:2" ht="18" customHeight="1" x14ac:dyDescent="0.2">
      <c r="A83" s="246" t="s">
        <v>87</v>
      </c>
      <c r="B83" s="246" t="s">
        <v>1421</v>
      </c>
    </row>
    <row r="84" spans="1:2" ht="19.5" customHeight="1" x14ac:dyDescent="0.2">
      <c r="A84" s="250" t="s">
        <v>341</v>
      </c>
      <c r="B84" s="250" t="s">
        <v>45</v>
      </c>
    </row>
    <row r="85" spans="1:2" ht="21" customHeight="1" x14ac:dyDescent="0.2">
      <c r="A85" s="250" t="s">
        <v>86</v>
      </c>
      <c r="B85" s="250" t="s">
        <v>342</v>
      </c>
    </row>
    <row r="86" spans="1:2" ht="25.5" customHeight="1" x14ac:dyDescent="0.2">
      <c r="A86" s="250" t="s">
        <v>343</v>
      </c>
      <c r="B86" s="250" t="s">
        <v>358</v>
      </c>
    </row>
    <row r="87" spans="1:2" ht="35.25" customHeight="1" x14ac:dyDescent="0.2">
      <c r="A87" s="250" t="s">
        <v>58</v>
      </c>
      <c r="B87" s="250" t="s">
        <v>59</v>
      </c>
    </row>
    <row r="88" spans="1:2" ht="35.25" customHeight="1" x14ac:dyDescent="0.2">
      <c r="A88" s="250" t="s">
        <v>60</v>
      </c>
      <c r="B88" s="250" t="s">
        <v>61</v>
      </c>
    </row>
    <row r="89" spans="1:2" ht="47.25" x14ac:dyDescent="0.2">
      <c r="A89" s="246" t="s">
        <v>62</v>
      </c>
      <c r="B89" s="246" t="s">
        <v>305</v>
      </c>
    </row>
    <row r="90" spans="1:2" ht="31.5" x14ac:dyDescent="0.2">
      <c r="A90" s="246" t="s">
        <v>53</v>
      </c>
      <c r="B90" s="246" t="s">
        <v>1422</v>
      </c>
    </row>
    <row r="91" spans="1:2" ht="61.5" customHeight="1" x14ac:dyDescent="0.2">
      <c r="A91" s="245" t="s">
        <v>180</v>
      </c>
      <c r="B91" s="245" t="s">
        <v>1324</v>
      </c>
    </row>
    <row r="92" spans="1:2" s="108" customFormat="1" ht="49.5" customHeight="1" x14ac:dyDescent="0.2">
      <c r="A92" s="250" t="s">
        <v>1151</v>
      </c>
      <c r="B92" s="250" t="s">
        <v>1325</v>
      </c>
    </row>
    <row r="93" spans="1:2" ht="130.5" customHeight="1" x14ac:dyDescent="0.2">
      <c r="A93" s="245" t="s">
        <v>377</v>
      </c>
      <c r="B93" s="245" t="s">
        <v>1423</v>
      </c>
    </row>
    <row r="94" spans="1:2" ht="49.5" customHeight="1" x14ac:dyDescent="0.2">
      <c r="A94" s="245" t="s">
        <v>283</v>
      </c>
      <c r="B94" s="245" t="s">
        <v>1424</v>
      </c>
    </row>
    <row r="95" spans="1:2" ht="37.5" customHeight="1" x14ac:dyDescent="0.2">
      <c r="A95" s="574" t="s">
        <v>1088</v>
      </c>
      <c r="B95" s="574" t="s">
        <v>1425</v>
      </c>
    </row>
    <row r="96" spans="1:2" ht="31.5" x14ac:dyDescent="0.2">
      <c r="A96" s="245" t="s">
        <v>40</v>
      </c>
      <c r="B96" s="245" t="s">
        <v>1083</v>
      </c>
    </row>
    <row r="97" spans="1:2" ht="63" x14ac:dyDescent="0.2">
      <c r="A97" s="574" t="s">
        <v>1153</v>
      </c>
      <c r="B97" s="574" t="s">
        <v>1426</v>
      </c>
    </row>
    <row r="98" spans="1:2" ht="63" x14ac:dyDescent="0.2">
      <c r="A98" s="574" t="s">
        <v>1087</v>
      </c>
      <c r="B98" s="574" t="s">
        <v>1427</v>
      </c>
    </row>
    <row r="99" spans="1:2" ht="66.75" customHeight="1" x14ac:dyDescent="0.2">
      <c r="A99" s="245" t="s">
        <v>312</v>
      </c>
      <c r="B99" s="366" t="s">
        <v>948</v>
      </c>
    </row>
    <row r="100" spans="1:2" ht="31.5" x14ac:dyDescent="0.2">
      <c r="A100" s="245" t="s">
        <v>658</v>
      </c>
      <c r="B100" s="245" t="s">
        <v>894</v>
      </c>
    </row>
    <row r="101" spans="1:2" ht="31.5" x14ac:dyDescent="0.2">
      <c r="A101" s="245" t="s">
        <v>659</v>
      </c>
      <c r="B101" s="245" t="s">
        <v>1428</v>
      </c>
    </row>
    <row r="102" spans="1:2" ht="31.5" x14ac:dyDescent="0.2">
      <c r="A102" s="245" t="s">
        <v>660</v>
      </c>
      <c r="B102" s="245" t="s">
        <v>1154</v>
      </c>
    </row>
    <row r="103" spans="1:2" ht="31.5" x14ac:dyDescent="0.2">
      <c r="A103" s="245" t="s">
        <v>661</v>
      </c>
      <c r="B103" s="245" t="s">
        <v>1155</v>
      </c>
    </row>
  </sheetData>
  <mergeCells count="1">
    <mergeCell ref="A1:B1"/>
  </mergeCells>
  <phoneticPr fontId="8"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8"/>
  <sheetViews>
    <sheetView zoomScale="85" zoomScaleNormal="85" workbookViewId="0">
      <pane xSplit="3" ySplit="5" topLeftCell="D33" activePane="bottomRight" state="frozen"/>
      <selection pane="topRight" activeCell="D1" sqref="D1"/>
      <selection pane="bottomLeft" activeCell="A6" sqref="A6"/>
      <selection pane="bottomRight" activeCell="G35" sqref="G35"/>
    </sheetView>
  </sheetViews>
  <sheetFormatPr defaultColWidth="9.140625" defaultRowHeight="12.75" x14ac:dyDescent="0.2"/>
  <cols>
    <col min="1" max="1" width="3.5703125" style="181" customWidth="1"/>
    <col min="2" max="2" width="59.42578125" style="181" customWidth="1"/>
    <col min="3" max="3" width="7.42578125" style="183" customWidth="1"/>
    <col min="4" max="6" width="18.140625" style="184" bestFit="1" customWidth="1"/>
    <col min="7" max="7" width="17.42578125" style="184" customWidth="1"/>
    <col min="8" max="16384" width="9.140625" style="181"/>
  </cols>
  <sheetData>
    <row r="1" spans="1:10" ht="35.25" customHeight="1" x14ac:dyDescent="0.2">
      <c r="A1" s="1178" t="s">
        <v>1255</v>
      </c>
      <c r="B1" s="1179"/>
      <c r="C1" s="1179"/>
      <c r="D1" s="1179"/>
      <c r="E1" s="1179"/>
      <c r="F1" s="1179"/>
      <c r="G1" s="1180"/>
    </row>
    <row r="2" spans="1:10" ht="30" customHeight="1" thickBot="1" x14ac:dyDescent="0.25">
      <c r="A2" s="1175" t="s">
        <v>426</v>
      </c>
      <c r="B2" s="1176"/>
      <c r="C2" s="1176"/>
      <c r="D2" s="1176"/>
      <c r="E2" s="1176"/>
      <c r="F2" s="1176"/>
      <c r="G2" s="1177"/>
    </row>
    <row r="3" spans="1:10" ht="57.75" customHeight="1" x14ac:dyDescent="0.2">
      <c r="A3" s="1181" t="s">
        <v>564</v>
      </c>
      <c r="B3" s="1182"/>
      <c r="C3" s="1182" t="s">
        <v>612</v>
      </c>
      <c r="D3" s="1185" t="s">
        <v>613</v>
      </c>
      <c r="E3" s="1185"/>
      <c r="F3" s="1185"/>
      <c r="G3" s="343" t="s">
        <v>614</v>
      </c>
    </row>
    <row r="4" spans="1:10" ht="16.5" thickBot="1" x14ac:dyDescent="0.25">
      <c r="A4" s="1183"/>
      <c r="B4" s="1184"/>
      <c r="C4" s="1184"/>
      <c r="D4" s="281" t="s">
        <v>560</v>
      </c>
      <c r="E4" s="281" t="s">
        <v>561</v>
      </c>
      <c r="F4" s="281" t="s">
        <v>562</v>
      </c>
      <c r="G4" s="282" t="s">
        <v>562</v>
      </c>
    </row>
    <row r="5" spans="1:10" ht="26.25" customHeight="1" thickBot="1" x14ac:dyDescent="0.3">
      <c r="A5" s="1186" t="s">
        <v>615</v>
      </c>
      <c r="B5" s="1187"/>
      <c r="C5" s="347" t="s">
        <v>616</v>
      </c>
      <c r="D5" s="348">
        <v>1</v>
      </c>
      <c r="E5" s="283">
        <v>2</v>
      </c>
      <c r="F5" s="283">
        <v>3</v>
      </c>
      <c r="G5" s="284">
        <v>4</v>
      </c>
    </row>
    <row r="6" spans="1:10" ht="15.95" customHeight="1" x14ac:dyDescent="0.25">
      <c r="A6" s="1171" t="s">
        <v>689</v>
      </c>
      <c r="B6" s="1172"/>
      <c r="C6" s="346" t="s">
        <v>444</v>
      </c>
      <c r="D6" s="272">
        <f>D7+D14+D26</f>
        <v>378942138.08999997</v>
      </c>
      <c r="E6" s="272">
        <f>E7+E14+E26</f>
        <v>101593920.06999999</v>
      </c>
      <c r="F6" s="272">
        <f>F7+F14+F26</f>
        <v>277348218.01999998</v>
      </c>
      <c r="G6" s="253">
        <f>G7+G14+G26</f>
        <v>211535765.05999997</v>
      </c>
    </row>
    <row r="7" spans="1:10" ht="15.95" customHeight="1" x14ac:dyDescent="0.25">
      <c r="A7" s="215" t="s">
        <v>617</v>
      </c>
      <c r="B7" s="209" t="s">
        <v>980</v>
      </c>
      <c r="C7" s="210" t="s">
        <v>446</v>
      </c>
      <c r="D7" s="49">
        <f>D8+D9+D10+D11+D12+D13</f>
        <v>10083037.49</v>
      </c>
      <c r="E7" s="49">
        <f>E8+E9+E10+E11+E12+E13</f>
        <v>8452661.620000001</v>
      </c>
      <c r="F7" s="49">
        <f>F8+F9+F10+F11+F12+F13</f>
        <v>1630375.87</v>
      </c>
      <c r="G7" s="50">
        <f>G8+G9+G10+G11+G12+G13</f>
        <v>2326333.6599999997</v>
      </c>
      <c r="J7" s="835"/>
    </row>
    <row r="8" spans="1:10" ht="31.5" x14ac:dyDescent="0.25">
      <c r="A8" s="1173"/>
      <c r="B8" s="211" t="s">
        <v>618</v>
      </c>
      <c r="C8" s="212" t="s">
        <v>448</v>
      </c>
      <c r="D8" s="345">
        <v>0</v>
      </c>
      <c r="E8" s="220">
        <v>0</v>
      </c>
      <c r="F8" s="220">
        <f t="shared" ref="F8:F13" si="0">D8-E8</f>
        <v>0</v>
      </c>
      <c r="G8" s="344">
        <v>0</v>
      </c>
    </row>
    <row r="9" spans="1:10" ht="15.95" customHeight="1" x14ac:dyDescent="0.25">
      <c r="A9" s="1174"/>
      <c r="B9" s="211" t="s">
        <v>619</v>
      </c>
      <c r="C9" s="212" t="s">
        <v>450</v>
      </c>
      <c r="D9" s="220">
        <v>9581601.0700000003</v>
      </c>
      <c r="E9" s="220">
        <v>8006435.9900000002</v>
      </c>
      <c r="F9" s="220">
        <f t="shared" si="0"/>
        <v>1575165.08</v>
      </c>
      <c r="G9" s="344">
        <v>2216893.98</v>
      </c>
      <c r="J9" s="835"/>
    </row>
    <row r="10" spans="1:10" ht="15.95" customHeight="1" x14ac:dyDescent="0.25">
      <c r="A10" s="1174"/>
      <c r="B10" s="211" t="s">
        <v>620</v>
      </c>
      <c r="C10" s="212" t="s">
        <v>451</v>
      </c>
      <c r="D10" s="220">
        <v>212573.79</v>
      </c>
      <c r="E10" s="220">
        <v>202561.53</v>
      </c>
      <c r="F10" s="220">
        <f t="shared" si="0"/>
        <v>10012.260000000009</v>
      </c>
      <c r="G10" s="344">
        <v>34176.42</v>
      </c>
    </row>
    <row r="11" spans="1:10" ht="31.5" x14ac:dyDescent="0.25">
      <c r="A11" s="1174"/>
      <c r="B11" s="211" t="s">
        <v>621</v>
      </c>
      <c r="C11" s="212" t="s">
        <v>453</v>
      </c>
      <c r="D11" s="220">
        <v>259015.3</v>
      </c>
      <c r="E11" s="220">
        <v>243664.1</v>
      </c>
      <c r="F11" s="220">
        <f t="shared" si="0"/>
        <v>15351.199999999983</v>
      </c>
      <c r="G11" s="344">
        <v>52319.26</v>
      </c>
    </row>
    <row r="12" spans="1:10" ht="15.75" x14ac:dyDescent="0.25">
      <c r="A12" s="1174"/>
      <c r="B12" s="211" t="s">
        <v>687</v>
      </c>
      <c r="C12" s="212" t="s">
        <v>455</v>
      </c>
      <c r="D12" s="220">
        <v>29847.33</v>
      </c>
      <c r="E12" s="220">
        <v>0</v>
      </c>
      <c r="F12" s="220">
        <f t="shared" si="0"/>
        <v>29847.33</v>
      </c>
      <c r="G12" s="344">
        <v>22944</v>
      </c>
    </row>
    <row r="13" spans="1:10" ht="31.5" x14ac:dyDescent="0.25">
      <c r="A13" s="1174"/>
      <c r="B13" s="211" t="s">
        <v>622</v>
      </c>
      <c r="C13" s="212" t="s">
        <v>457</v>
      </c>
      <c r="D13" s="220">
        <v>0</v>
      </c>
      <c r="E13" s="220">
        <v>0</v>
      </c>
      <c r="F13" s="220">
        <f t="shared" si="0"/>
        <v>0</v>
      </c>
      <c r="G13" s="344">
        <v>0</v>
      </c>
    </row>
    <row r="14" spans="1:10" ht="15.95" customHeight="1" x14ac:dyDescent="0.25">
      <c r="A14" s="215" t="s">
        <v>623</v>
      </c>
      <c r="B14" s="213" t="s">
        <v>981</v>
      </c>
      <c r="C14" s="210" t="s">
        <v>459</v>
      </c>
      <c r="D14" s="49">
        <f>SUM(D15:D25)</f>
        <v>368736326.64999998</v>
      </c>
      <c r="E14" s="49">
        <f>SUM(E15:E25)</f>
        <v>93141258.449999988</v>
      </c>
      <c r="F14" s="49">
        <f>SUM(F15:F25)</f>
        <v>275595068.19999999</v>
      </c>
      <c r="G14" s="50">
        <f>SUM(G15:G25)</f>
        <v>209187157.44999999</v>
      </c>
    </row>
    <row r="15" spans="1:10" ht="15.95" customHeight="1" x14ac:dyDescent="0.25">
      <c r="A15" s="216"/>
      <c r="B15" s="214" t="s">
        <v>624</v>
      </c>
      <c r="C15" s="212" t="s">
        <v>461</v>
      </c>
      <c r="D15" s="220">
        <v>25236763.109999999</v>
      </c>
      <c r="E15" s="220">
        <v>0</v>
      </c>
      <c r="F15" s="220">
        <f>D15-E15</f>
        <v>25236763.109999999</v>
      </c>
      <c r="G15" s="344">
        <v>25236763.109999999</v>
      </c>
    </row>
    <row r="16" spans="1:10" ht="15.95" customHeight="1" x14ac:dyDescent="0.25">
      <c r="A16" s="216"/>
      <c r="B16" s="214" t="s">
        <v>625</v>
      </c>
      <c r="C16" s="212" t="s">
        <v>463</v>
      </c>
      <c r="D16" s="220">
        <v>85176.320000000007</v>
      </c>
      <c r="E16" s="220">
        <v>0</v>
      </c>
      <c r="F16" s="220">
        <f t="shared" ref="F16:F25" si="1">D16-E16</f>
        <v>85176.320000000007</v>
      </c>
      <c r="G16" s="344">
        <v>85731.59</v>
      </c>
    </row>
    <row r="17" spans="1:7" ht="15.95" customHeight="1" x14ac:dyDescent="0.25">
      <c r="A17" s="216"/>
      <c r="B17" s="214" t="s">
        <v>626</v>
      </c>
      <c r="C17" s="212" t="s">
        <v>465</v>
      </c>
      <c r="D17" s="220">
        <v>203530071.34</v>
      </c>
      <c r="E17" s="220">
        <v>29702758.18</v>
      </c>
      <c r="F17" s="220">
        <f t="shared" si="1"/>
        <v>173827313.16</v>
      </c>
      <c r="G17" s="344">
        <v>125508333.01000001</v>
      </c>
    </row>
    <row r="18" spans="1:7" ht="31.5" x14ac:dyDescent="0.25">
      <c r="A18" s="216"/>
      <c r="B18" s="214" t="s">
        <v>853</v>
      </c>
      <c r="C18" s="212" t="s">
        <v>467</v>
      </c>
      <c r="D18" s="220">
        <v>123413014.31999999</v>
      </c>
      <c r="E18" s="220">
        <v>59512531.700000003</v>
      </c>
      <c r="F18" s="220">
        <f t="shared" si="1"/>
        <v>63900482.61999999</v>
      </c>
      <c r="G18" s="344">
        <v>29554078.010000002</v>
      </c>
    </row>
    <row r="19" spans="1:7" ht="15.95" customHeight="1" x14ac:dyDescent="0.25">
      <c r="A19" s="216"/>
      <c r="B19" s="214" t="s">
        <v>627</v>
      </c>
      <c r="C19" s="212" t="s">
        <v>469</v>
      </c>
      <c r="D19" s="220">
        <v>1022353.58</v>
      </c>
      <c r="E19" s="220">
        <v>974744.8</v>
      </c>
      <c r="F19" s="220">
        <f t="shared" si="1"/>
        <v>47608.779999999912</v>
      </c>
      <c r="G19" s="344">
        <v>85621.52</v>
      </c>
    </row>
    <row r="20" spans="1:7" ht="15.75" x14ac:dyDescent="0.25">
      <c r="A20" s="216"/>
      <c r="B20" s="214" t="s">
        <v>628</v>
      </c>
      <c r="C20" s="212" t="s">
        <v>471</v>
      </c>
      <c r="D20" s="220">
        <v>0</v>
      </c>
      <c r="E20" s="220">
        <v>0</v>
      </c>
      <c r="F20" s="220">
        <f t="shared" si="1"/>
        <v>0</v>
      </c>
      <c r="G20" s="344">
        <v>0</v>
      </c>
    </row>
    <row r="21" spans="1:7" ht="15.95" customHeight="1" x14ac:dyDescent="0.25">
      <c r="A21" s="216"/>
      <c r="B21" s="214" t="s">
        <v>629</v>
      </c>
      <c r="C21" s="212" t="s">
        <v>473</v>
      </c>
      <c r="D21" s="220">
        <v>0</v>
      </c>
      <c r="E21" s="220">
        <v>0</v>
      </c>
      <c r="F21" s="220">
        <f t="shared" si="1"/>
        <v>0</v>
      </c>
      <c r="G21" s="344">
        <v>0</v>
      </c>
    </row>
    <row r="22" spans="1:7" ht="15.75" x14ac:dyDescent="0.25">
      <c r="A22" s="216"/>
      <c r="B22" s="214" t="s">
        <v>630</v>
      </c>
      <c r="C22" s="212" t="s">
        <v>475</v>
      </c>
      <c r="D22" s="220">
        <v>2634777.7999999998</v>
      </c>
      <c r="E22" s="220">
        <v>2408621.64</v>
      </c>
      <c r="F22" s="220">
        <f t="shared" si="1"/>
        <v>226156.15999999968</v>
      </c>
      <c r="G22" s="344">
        <v>402977.4</v>
      </c>
    </row>
    <row r="23" spans="1:7" ht="15.75" x14ac:dyDescent="0.25">
      <c r="A23" s="216"/>
      <c r="B23" s="214" t="s">
        <v>631</v>
      </c>
      <c r="C23" s="212" t="s">
        <v>477</v>
      </c>
      <c r="D23" s="220">
        <v>1094708.8400000001</v>
      </c>
      <c r="E23" s="220">
        <v>542602.13</v>
      </c>
      <c r="F23" s="220">
        <f t="shared" si="1"/>
        <v>552106.71000000008</v>
      </c>
      <c r="G23" s="344">
        <v>598495.47</v>
      </c>
    </row>
    <row r="24" spans="1:7" ht="15.75" x14ac:dyDescent="0.25">
      <c r="A24" s="216"/>
      <c r="B24" s="434" t="s">
        <v>632</v>
      </c>
      <c r="C24" s="212" t="s">
        <v>479</v>
      </c>
      <c r="D24" s="220">
        <v>11718579.699999999</v>
      </c>
      <c r="E24" s="220">
        <v>0</v>
      </c>
      <c r="F24" s="220">
        <f t="shared" si="1"/>
        <v>11718579.699999999</v>
      </c>
      <c r="G24" s="344">
        <v>21680963.699999999</v>
      </c>
    </row>
    <row r="25" spans="1:7" ht="31.5" x14ac:dyDescent="0.25">
      <c r="A25" s="217"/>
      <c r="B25" s="434" t="s">
        <v>633</v>
      </c>
      <c r="C25" s="212" t="s">
        <v>481</v>
      </c>
      <c r="D25" s="220">
        <v>881.64</v>
      </c>
      <c r="E25" s="220">
        <v>0</v>
      </c>
      <c r="F25" s="220">
        <f t="shared" si="1"/>
        <v>881.64</v>
      </c>
      <c r="G25" s="344">
        <v>6034193.6399999997</v>
      </c>
    </row>
    <row r="26" spans="1:7" ht="15.95" customHeight="1" x14ac:dyDescent="0.25">
      <c r="A26" s="215" t="s">
        <v>634</v>
      </c>
      <c r="B26" s="435" t="s">
        <v>982</v>
      </c>
      <c r="C26" s="210" t="s">
        <v>483</v>
      </c>
      <c r="D26" s="49">
        <f>SUM(D27:D33)</f>
        <v>122773.95</v>
      </c>
      <c r="E26" s="49">
        <f>SUM(E27:E33)</f>
        <v>0</v>
      </c>
      <c r="F26" s="49">
        <f>SUM(F27:F33)</f>
        <v>122773.95</v>
      </c>
      <c r="G26" s="50">
        <f>SUM(G27:G33)</f>
        <v>22273.95</v>
      </c>
    </row>
    <row r="27" spans="1:7" ht="31.5" x14ac:dyDescent="0.25">
      <c r="A27" s="216"/>
      <c r="B27" s="434" t="s">
        <v>1055</v>
      </c>
      <c r="C27" s="212" t="s">
        <v>485</v>
      </c>
      <c r="D27" s="220">
        <v>122273.95</v>
      </c>
      <c r="E27" s="220">
        <v>0</v>
      </c>
      <c r="F27" s="220">
        <f>D27-E27</f>
        <v>122273.95</v>
      </c>
      <c r="G27" s="344">
        <v>22273.95</v>
      </c>
    </row>
    <row r="28" spans="1:7" ht="31.5" x14ac:dyDescent="0.25">
      <c r="A28" s="216"/>
      <c r="B28" s="434" t="s">
        <v>1056</v>
      </c>
      <c r="C28" s="212" t="s">
        <v>487</v>
      </c>
      <c r="D28" s="220">
        <v>0</v>
      </c>
      <c r="E28" s="220">
        <v>0</v>
      </c>
      <c r="F28" s="220">
        <f t="shared" ref="F28:F33" si="2">D28-E28</f>
        <v>0</v>
      </c>
      <c r="G28" s="344">
        <v>0</v>
      </c>
    </row>
    <row r="29" spans="1:7" ht="15.75" x14ac:dyDescent="0.25">
      <c r="A29" s="216"/>
      <c r="B29" s="434" t="s">
        <v>1057</v>
      </c>
      <c r="C29" s="212" t="s">
        <v>489</v>
      </c>
      <c r="D29" s="220">
        <v>0</v>
      </c>
      <c r="E29" s="220">
        <v>0</v>
      </c>
      <c r="F29" s="220">
        <f t="shared" si="2"/>
        <v>0</v>
      </c>
      <c r="G29" s="344">
        <v>0</v>
      </c>
    </row>
    <row r="30" spans="1:7" ht="31.5" x14ac:dyDescent="0.25">
      <c r="A30" s="216"/>
      <c r="B30" s="434" t="s">
        <v>635</v>
      </c>
      <c r="C30" s="212" t="s">
        <v>491</v>
      </c>
      <c r="D30" s="220">
        <v>0</v>
      </c>
      <c r="E30" s="220">
        <v>0</v>
      </c>
      <c r="F30" s="220">
        <f t="shared" si="2"/>
        <v>0</v>
      </c>
      <c r="G30" s="344">
        <v>0</v>
      </c>
    </row>
    <row r="31" spans="1:7" ht="20.25" customHeight="1" x14ac:dyDescent="0.25">
      <c r="A31" s="216"/>
      <c r="B31" s="436" t="s">
        <v>1058</v>
      </c>
      <c r="C31" s="212" t="s">
        <v>493</v>
      </c>
      <c r="D31" s="220">
        <v>500</v>
      </c>
      <c r="E31" s="220">
        <v>0</v>
      </c>
      <c r="F31" s="220">
        <f t="shared" si="2"/>
        <v>500</v>
      </c>
      <c r="G31" s="344">
        <v>0</v>
      </c>
    </row>
    <row r="32" spans="1:7" ht="15.75" x14ac:dyDescent="0.25">
      <c r="A32" s="217"/>
      <c r="B32" s="434" t="s">
        <v>636</v>
      </c>
      <c r="C32" s="212" t="s">
        <v>495</v>
      </c>
      <c r="D32" s="220">
        <v>0</v>
      </c>
      <c r="E32" s="220">
        <v>0</v>
      </c>
      <c r="F32" s="220">
        <f t="shared" si="2"/>
        <v>0</v>
      </c>
      <c r="G32" s="344">
        <v>0</v>
      </c>
    </row>
    <row r="33" spans="1:7" ht="19.5" customHeight="1" thickBot="1" x14ac:dyDescent="0.3">
      <c r="A33" s="381"/>
      <c r="B33" s="437" t="s">
        <v>1059</v>
      </c>
      <c r="C33" s="382" t="s">
        <v>497</v>
      </c>
      <c r="D33" s="383">
        <v>0</v>
      </c>
      <c r="E33" s="383">
        <v>0</v>
      </c>
      <c r="F33" s="220">
        <f t="shared" si="2"/>
        <v>0</v>
      </c>
      <c r="G33" s="384">
        <v>0</v>
      </c>
    </row>
    <row r="34" spans="1:7" s="183" customFormat="1" ht="18" customHeight="1" x14ac:dyDescent="0.2">
      <c r="A34" s="182"/>
      <c r="B34" s="182"/>
      <c r="D34" s="184"/>
      <c r="E34" s="184"/>
      <c r="F34" s="184"/>
      <c r="G34" s="184"/>
    </row>
    <row r="35" spans="1:7" s="183" customFormat="1" ht="18" customHeight="1" x14ac:dyDescent="0.25">
      <c r="A35" s="182"/>
      <c r="B35" s="182"/>
      <c r="D35" s="184"/>
      <c r="E35" s="184"/>
      <c r="F35" s="184"/>
      <c r="G35" s="2"/>
    </row>
    <row r="36" spans="1:7" s="183" customFormat="1" ht="18" customHeight="1" x14ac:dyDescent="0.2">
      <c r="A36" s="182"/>
      <c r="B36" s="182"/>
      <c r="D36" s="184"/>
      <c r="E36" s="184"/>
      <c r="F36" s="184"/>
      <c r="G36" s="184"/>
    </row>
    <row r="37" spans="1:7" s="183" customFormat="1" ht="18" customHeight="1" x14ac:dyDescent="0.2">
      <c r="A37" s="182"/>
      <c r="B37" s="182"/>
      <c r="D37" s="184"/>
      <c r="E37" s="184"/>
      <c r="F37" s="184"/>
      <c r="G37" s="184"/>
    </row>
    <row r="38" spans="1:7" s="183" customFormat="1" ht="18" customHeight="1" x14ac:dyDescent="0.2">
      <c r="A38" s="182"/>
      <c r="B38" s="182"/>
      <c r="D38" s="184"/>
      <c r="E38" s="184"/>
      <c r="F38" s="184"/>
      <c r="G38" s="184"/>
    </row>
    <row r="39" spans="1:7" s="183" customFormat="1" ht="18" customHeight="1" x14ac:dyDescent="0.2">
      <c r="A39" s="182"/>
      <c r="B39" s="182"/>
      <c r="D39" s="184"/>
      <c r="E39" s="184"/>
      <c r="F39" s="184"/>
      <c r="G39" s="184"/>
    </row>
    <row r="40" spans="1:7" s="183" customFormat="1" ht="18" customHeight="1" x14ac:dyDescent="0.2">
      <c r="A40" s="182"/>
      <c r="B40" s="182"/>
      <c r="D40" s="184"/>
      <c r="E40" s="184"/>
      <c r="F40" s="184"/>
      <c r="G40" s="184"/>
    </row>
    <row r="41" spans="1:7" s="183" customFormat="1" ht="18" customHeight="1" x14ac:dyDescent="0.2">
      <c r="A41" s="182"/>
      <c r="B41" s="182"/>
      <c r="D41" s="184"/>
      <c r="E41" s="184"/>
      <c r="F41" s="184"/>
      <c r="G41" s="184"/>
    </row>
    <row r="42" spans="1:7" s="183" customFormat="1" ht="18" customHeight="1" x14ac:dyDescent="0.2">
      <c r="A42" s="181"/>
      <c r="B42" s="181"/>
      <c r="D42" s="184"/>
      <c r="E42" s="184"/>
      <c r="F42" s="184"/>
      <c r="G42" s="184"/>
    </row>
    <row r="43" spans="1:7" s="183" customFormat="1" ht="18" customHeight="1" x14ac:dyDescent="0.2">
      <c r="A43" s="181"/>
      <c r="B43" s="181"/>
      <c r="D43" s="184"/>
      <c r="E43" s="184"/>
      <c r="F43" s="184"/>
      <c r="G43" s="184"/>
    </row>
    <row r="44" spans="1:7" s="183" customFormat="1" ht="18" customHeight="1" x14ac:dyDescent="0.2">
      <c r="A44" s="181"/>
      <c r="B44" s="181"/>
      <c r="D44" s="184"/>
      <c r="E44" s="184"/>
      <c r="F44" s="184"/>
      <c r="G44" s="184"/>
    </row>
    <row r="45" spans="1:7" s="183" customFormat="1" ht="18" customHeight="1" x14ac:dyDescent="0.2">
      <c r="A45" s="181"/>
      <c r="B45" s="181"/>
      <c r="D45" s="184"/>
      <c r="E45" s="184"/>
      <c r="F45" s="184"/>
      <c r="G45" s="184"/>
    </row>
    <row r="46" spans="1:7" s="183" customFormat="1" ht="18" customHeight="1" x14ac:dyDescent="0.2">
      <c r="A46" s="181"/>
      <c r="B46" s="181"/>
      <c r="D46" s="184"/>
      <c r="E46" s="184"/>
      <c r="F46" s="184"/>
      <c r="G46" s="184"/>
    </row>
    <row r="47" spans="1:7" s="183" customFormat="1" ht="18" customHeight="1" x14ac:dyDescent="0.2">
      <c r="A47" s="181"/>
      <c r="B47" s="181"/>
      <c r="D47" s="184"/>
      <c r="E47" s="184"/>
      <c r="F47" s="184"/>
      <c r="G47" s="184"/>
    </row>
    <row r="48" spans="1:7" s="183" customFormat="1" ht="18" customHeight="1" x14ac:dyDescent="0.2">
      <c r="A48" s="181"/>
      <c r="B48" s="181"/>
      <c r="D48" s="184"/>
      <c r="E48" s="184"/>
      <c r="F48" s="184"/>
      <c r="G48" s="184"/>
    </row>
  </sheetData>
  <mergeCells count="8">
    <mergeCell ref="A6:B6"/>
    <mergeCell ref="A8:A13"/>
    <mergeCell ref="A2:G2"/>
    <mergeCell ref="A1:G1"/>
    <mergeCell ref="A3:B4"/>
    <mergeCell ref="C3:C4"/>
    <mergeCell ref="D3:F3"/>
    <mergeCell ref="A5:B5"/>
  </mergeCells>
  <pageMargins left="0.35433070866141736" right="0.35433070866141736" top="0.98425196850393704" bottom="0.98425196850393704" header="0.51181102362204722" footer="0.51181102362204722"/>
  <pageSetup paperSize="9" scale="7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6"/>
  <sheetViews>
    <sheetView zoomScale="85" zoomScaleNormal="85" workbookViewId="0">
      <pane xSplit="3" ySplit="5" topLeftCell="D33" activePane="bottomRight" state="frozen"/>
      <selection pane="topRight" activeCell="D1" sqref="D1"/>
      <selection pane="bottomLeft" activeCell="A6" sqref="A6"/>
      <selection pane="bottomRight" activeCell="G39" sqref="G39"/>
    </sheetView>
  </sheetViews>
  <sheetFormatPr defaultColWidth="9.140625" defaultRowHeight="12.75" x14ac:dyDescent="0.2"/>
  <cols>
    <col min="1" max="1" width="2.42578125" style="185" customWidth="1"/>
    <col min="2" max="2" width="54.42578125" style="185" customWidth="1"/>
    <col min="3" max="3" width="7.42578125" style="185" customWidth="1"/>
    <col min="4" max="6" width="18.140625" style="188" bestFit="1" customWidth="1"/>
    <col min="7" max="7" width="17.5703125" style="188" customWidth="1"/>
    <col min="8" max="16384" width="9.140625" style="185"/>
  </cols>
  <sheetData>
    <row r="1" spans="1:7" ht="24.75" customHeight="1" thickBot="1" x14ac:dyDescent="0.25">
      <c r="A1" s="1086" t="s">
        <v>1256</v>
      </c>
      <c r="B1" s="1087"/>
      <c r="C1" s="1087"/>
      <c r="D1" s="1087"/>
      <c r="E1" s="1087"/>
      <c r="F1" s="1087"/>
      <c r="G1" s="1088"/>
    </row>
    <row r="2" spans="1:7" ht="33" customHeight="1" x14ac:dyDescent="0.2">
      <c r="A2" s="1190" t="s">
        <v>426</v>
      </c>
      <c r="B2" s="1191"/>
      <c r="C2" s="1191"/>
      <c r="D2" s="1191"/>
      <c r="E2" s="1191"/>
      <c r="F2" s="1191"/>
      <c r="G2" s="1192"/>
    </row>
    <row r="3" spans="1:7" ht="61.5" customHeight="1" x14ac:dyDescent="0.2">
      <c r="A3" s="1197" t="s">
        <v>564</v>
      </c>
      <c r="B3" s="1198"/>
      <c r="C3" s="1198"/>
      <c r="D3" s="1201" t="s">
        <v>637</v>
      </c>
      <c r="E3" s="1201"/>
      <c r="F3" s="1201"/>
      <c r="G3" s="218" t="s">
        <v>614</v>
      </c>
    </row>
    <row r="4" spans="1:7" ht="16.5" thickBot="1" x14ac:dyDescent="0.25">
      <c r="A4" s="1199"/>
      <c r="B4" s="1200"/>
      <c r="C4" s="1200"/>
      <c r="D4" s="276" t="s">
        <v>560</v>
      </c>
      <c r="E4" s="276" t="s">
        <v>561</v>
      </c>
      <c r="F4" s="276" t="s">
        <v>562</v>
      </c>
      <c r="G4" s="277" t="s">
        <v>562</v>
      </c>
    </row>
    <row r="5" spans="1:7" ht="21.75" customHeight="1" thickBot="1" x14ac:dyDescent="0.25">
      <c r="A5" s="1202" t="s">
        <v>615</v>
      </c>
      <c r="B5" s="1203"/>
      <c r="C5" s="278" t="s">
        <v>616</v>
      </c>
      <c r="D5" s="279">
        <v>1</v>
      </c>
      <c r="E5" s="279">
        <v>2</v>
      </c>
      <c r="F5" s="279">
        <v>3</v>
      </c>
      <c r="G5" s="280">
        <v>4</v>
      </c>
    </row>
    <row r="6" spans="1:7" ht="15.95" customHeight="1" x14ac:dyDescent="0.2">
      <c r="A6" s="1204" t="s">
        <v>979</v>
      </c>
      <c r="B6" s="1205"/>
      <c r="C6" s="399" t="s">
        <v>499</v>
      </c>
      <c r="D6" s="272">
        <f>D7+D14+D19+D28</f>
        <v>32144559.809999999</v>
      </c>
      <c r="E6" s="272">
        <f>E7+E14+E19+E28</f>
        <v>213292.33000000002</v>
      </c>
      <c r="F6" s="272">
        <f>F7+F14+F19+F28</f>
        <v>31931267.479999997</v>
      </c>
      <c r="G6" s="253">
        <f>G7+G14+G19+G28</f>
        <v>40155100.960000001</v>
      </c>
    </row>
    <row r="7" spans="1:7" ht="15.95" customHeight="1" x14ac:dyDescent="0.2">
      <c r="A7" s="228" t="s">
        <v>617</v>
      </c>
      <c r="B7" s="438" t="s">
        <v>638</v>
      </c>
      <c r="C7" s="400" t="s">
        <v>501</v>
      </c>
      <c r="D7" s="49">
        <f>SUM(D8:D13)</f>
        <v>786336.09</v>
      </c>
      <c r="E7" s="49">
        <f>SUM(E8:E13)</f>
        <v>0</v>
      </c>
      <c r="F7" s="49">
        <f>SUM(F8:F13)</f>
        <v>786336.09</v>
      </c>
      <c r="G7" s="50">
        <f>SUM(G8:G13)</f>
        <v>804025.67999999982</v>
      </c>
    </row>
    <row r="8" spans="1:7" ht="15.95" customHeight="1" x14ac:dyDescent="0.25">
      <c r="A8" s="1194"/>
      <c r="B8" s="439" t="s">
        <v>639</v>
      </c>
      <c r="C8" s="401" t="s">
        <v>503</v>
      </c>
      <c r="D8" s="734">
        <v>489133.17</v>
      </c>
      <c r="E8" s="735">
        <v>0</v>
      </c>
      <c r="F8" s="734">
        <f t="shared" ref="F8:F13" si="0">D8-E8</f>
        <v>489133.17</v>
      </c>
      <c r="G8" s="736">
        <v>533350.6</v>
      </c>
    </row>
    <row r="9" spans="1:7" ht="31.5" x14ac:dyDescent="0.25">
      <c r="A9" s="1206"/>
      <c r="B9" s="439" t="s">
        <v>640</v>
      </c>
      <c r="C9" s="401" t="s">
        <v>505</v>
      </c>
      <c r="D9" s="734">
        <v>0</v>
      </c>
      <c r="E9" s="735">
        <v>0</v>
      </c>
      <c r="F9" s="734">
        <f t="shared" si="0"/>
        <v>0</v>
      </c>
      <c r="G9" s="736">
        <v>0</v>
      </c>
    </row>
    <row r="10" spans="1:7" ht="15.95" customHeight="1" x14ac:dyDescent="0.25">
      <c r="A10" s="1206"/>
      <c r="B10" s="439" t="s">
        <v>641</v>
      </c>
      <c r="C10" s="401" t="s">
        <v>507</v>
      </c>
      <c r="D10" s="734">
        <v>288759.46000000002</v>
      </c>
      <c r="E10" s="735">
        <v>0</v>
      </c>
      <c r="F10" s="734">
        <f t="shared" si="0"/>
        <v>288759.46000000002</v>
      </c>
      <c r="G10" s="736">
        <v>255277.63</v>
      </c>
    </row>
    <row r="11" spans="1:7" ht="15.95" customHeight="1" x14ac:dyDescent="0.25">
      <c r="A11" s="1206"/>
      <c r="B11" s="439" t="s">
        <v>642</v>
      </c>
      <c r="C11" s="401" t="s">
        <v>509</v>
      </c>
      <c r="D11" s="734">
        <v>331.94</v>
      </c>
      <c r="E11" s="735">
        <v>0</v>
      </c>
      <c r="F11" s="734">
        <f t="shared" si="0"/>
        <v>331.94</v>
      </c>
      <c r="G11" s="736">
        <v>331.94</v>
      </c>
    </row>
    <row r="12" spans="1:7" ht="15.95" customHeight="1" x14ac:dyDescent="0.25">
      <c r="A12" s="1206"/>
      <c r="B12" s="439" t="s">
        <v>643</v>
      </c>
      <c r="C12" s="401" t="s">
        <v>511</v>
      </c>
      <c r="D12" s="734">
        <v>3177.81</v>
      </c>
      <c r="E12" s="735">
        <v>0</v>
      </c>
      <c r="F12" s="734">
        <f t="shared" si="0"/>
        <v>3177.81</v>
      </c>
      <c r="G12" s="736">
        <v>2714.32</v>
      </c>
    </row>
    <row r="13" spans="1:7" ht="31.5" x14ac:dyDescent="0.25">
      <c r="A13" s="1206"/>
      <c r="B13" s="439" t="s">
        <v>1081</v>
      </c>
      <c r="C13" s="401" t="s">
        <v>513</v>
      </c>
      <c r="D13" s="734">
        <v>4933.71</v>
      </c>
      <c r="E13" s="735">
        <v>0</v>
      </c>
      <c r="F13" s="734">
        <f t="shared" si="0"/>
        <v>4933.71</v>
      </c>
      <c r="G13" s="736">
        <v>12351.19</v>
      </c>
    </row>
    <row r="14" spans="1:7" ht="15.95" customHeight="1" x14ac:dyDescent="0.2">
      <c r="A14" s="232" t="s">
        <v>623</v>
      </c>
      <c r="B14" s="438" t="s">
        <v>978</v>
      </c>
      <c r="C14" s="402" t="s">
        <v>515</v>
      </c>
      <c r="D14" s="49">
        <f>SUM(D15:D18)</f>
        <v>0</v>
      </c>
      <c r="E14" s="49">
        <f>SUM(E15:E18)</f>
        <v>0</v>
      </c>
      <c r="F14" s="49">
        <f>SUM(F15:F18)</f>
        <v>0</v>
      </c>
      <c r="G14" s="50">
        <f>SUM(G15:G18)</f>
        <v>0</v>
      </c>
    </row>
    <row r="15" spans="1:7" ht="31.5" x14ac:dyDescent="0.25">
      <c r="A15" s="1193"/>
      <c r="B15" s="410" t="s">
        <v>1110</v>
      </c>
      <c r="C15" s="401" t="s">
        <v>517</v>
      </c>
      <c r="D15" s="734">
        <v>0</v>
      </c>
      <c r="E15" s="735">
        <v>0</v>
      </c>
      <c r="F15" s="734">
        <f>D15-E15</f>
        <v>0</v>
      </c>
      <c r="G15" s="736">
        <v>0</v>
      </c>
    </row>
    <row r="16" spans="1:7" ht="15.75" x14ac:dyDescent="0.25">
      <c r="A16" s="1193"/>
      <c r="B16" s="439" t="s">
        <v>644</v>
      </c>
      <c r="C16" s="401" t="s">
        <v>519</v>
      </c>
      <c r="D16" s="734">
        <v>0</v>
      </c>
      <c r="E16" s="735">
        <v>0</v>
      </c>
      <c r="F16" s="734">
        <f>D16-E16</f>
        <v>0</v>
      </c>
      <c r="G16" s="736">
        <v>0</v>
      </c>
    </row>
    <row r="17" spans="1:7" ht="18" customHeight="1" x14ac:dyDescent="0.25">
      <c r="A17" s="1193"/>
      <c r="B17" s="439" t="s">
        <v>969</v>
      </c>
      <c r="C17" s="401" t="s">
        <v>521</v>
      </c>
      <c r="D17" s="734">
        <v>0</v>
      </c>
      <c r="E17" s="735">
        <v>0</v>
      </c>
      <c r="F17" s="734">
        <f>D17-E17</f>
        <v>0</v>
      </c>
      <c r="G17" s="736">
        <v>0</v>
      </c>
    </row>
    <row r="18" spans="1:7" ht="31.5" x14ac:dyDescent="0.25">
      <c r="A18" s="1194"/>
      <c r="B18" s="439" t="s">
        <v>889</v>
      </c>
      <c r="C18" s="401" t="s">
        <v>523</v>
      </c>
      <c r="D18" s="734">
        <v>0</v>
      </c>
      <c r="E18" s="735">
        <v>0</v>
      </c>
      <c r="F18" s="734">
        <f>D18-E18</f>
        <v>0</v>
      </c>
      <c r="G18" s="736">
        <v>0</v>
      </c>
    </row>
    <row r="19" spans="1:7" ht="15.95" customHeight="1" x14ac:dyDescent="0.2">
      <c r="A19" s="234" t="s">
        <v>634</v>
      </c>
      <c r="B19" s="438" t="s">
        <v>977</v>
      </c>
      <c r="C19" s="402" t="s">
        <v>525</v>
      </c>
      <c r="D19" s="49">
        <f>SUM(D20:D27)</f>
        <v>4843586.5199999996</v>
      </c>
      <c r="E19" s="49">
        <f>SUM(E20:E27)</f>
        <v>213292.33000000002</v>
      </c>
      <c r="F19" s="49">
        <f>SUM(F20:F27)</f>
        <v>4630294.1899999995</v>
      </c>
      <c r="G19" s="226">
        <f>SUM(G20:G27)</f>
        <v>7093048.4299999997</v>
      </c>
    </row>
    <row r="20" spans="1:7" ht="31.5" x14ac:dyDescent="0.25">
      <c r="A20" s="1193"/>
      <c r="B20" s="410" t="s">
        <v>645</v>
      </c>
      <c r="C20" s="401" t="s">
        <v>527</v>
      </c>
      <c r="D20" s="734">
        <v>1703279.96</v>
      </c>
      <c r="E20" s="735">
        <v>193875.98</v>
      </c>
      <c r="F20" s="734">
        <f>D20-E20</f>
        <v>1509403.98</v>
      </c>
      <c r="G20" s="736">
        <v>1257120.8700000001</v>
      </c>
    </row>
    <row r="21" spans="1:7" ht="15.95" customHeight="1" x14ac:dyDescent="0.25">
      <c r="A21" s="1193"/>
      <c r="B21" s="439" t="s">
        <v>644</v>
      </c>
      <c r="C21" s="401" t="s">
        <v>528</v>
      </c>
      <c r="D21" s="734">
        <v>120315.11</v>
      </c>
      <c r="E21" s="735">
        <v>19416.349999999999</v>
      </c>
      <c r="F21" s="734">
        <f t="shared" ref="F21:F27" si="1">D21-E21</f>
        <v>100898.76000000001</v>
      </c>
      <c r="G21" s="736">
        <v>17116.689999999999</v>
      </c>
    </row>
    <row r="22" spans="1:7" ht="15.95" customHeight="1" x14ac:dyDescent="0.25">
      <c r="A22" s="1193"/>
      <c r="B22" s="439" t="s">
        <v>646</v>
      </c>
      <c r="C22" s="401" t="s">
        <v>530</v>
      </c>
      <c r="D22" s="734">
        <v>0</v>
      </c>
      <c r="E22" s="735">
        <v>0</v>
      </c>
      <c r="F22" s="734">
        <f t="shared" si="1"/>
        <v>0</v>
      </c>
      <c r="G22" s="736">
        <v>0</v>
      </c>
    </row>
    <row r="23" spans="1:7" ht="15.75" x14ac:dyDescent="0.25">
      <c r="A23" s="1193"/>
      <c r="B23" s="439" t="s">
        <v>647</v>
      </c>
      <c r="C23" s="401" t="s">
        <v>532</v>
      </c>
      <c r="D23" s="734">
        <v>41168.160000000003</v>
      </c>
      <c r="E23" s="735">
        <v>0</v>
      </c>
      <c r="F23" s="734">
        <f t="shared" si="1"/>
        <v>41168.160000000003</v>
      </c>
      <c r="G23" s="736">
        <v>0</v>
      </c>
    </row>
    <row r="24" spans="1:7" ht="31.5" x14ac:dyDescent="0.25">
      <c r="A24" s="1193"/>
      <c r="B24" s="439" t="s">
        <v>1060</v>
      </c>
      <c r="C24" s="401" t="s">
        <v>534</v>
      </c>
      <c r="D24" s="734">
        <v>2528277.31</v>
      </c>
      <c r="E24" s="735">
        <v>0</v>
      </c>
      <c r="F24" s="734">
        <f t="shared" si="1"/>
        <v>2528277.31</v>
      </c>
      <c r="G24" s="736">
        <v>2862182.69</v>
      </c>
    </row>
    <row r="25" spans="1:7" ht="15.75" customHeight="1" x14ac:dyDescent="0.25">
      <c r="A25" s="1193"/>
      <c r="B25" s="439" t="s">
        <v>970</v>
      </c>
      <c r="C25" s="401" t="s">
        <v>535</v>
      </c>
      <c r="D25" s="734">
        <v>0</v>
      </c>
      <c r="E25" s="735">
        <v>0</v>
      </c>
      <c r="F25" s="734">
        <f t="shared" si="1"/>
        <v>0</v>
      </c>
      <c r="G25" s="736">
        <v>0</v>
      </c>
    </row>
    <row r="26" spans="1:7" ht="15.95" customHeight="1" x14ac:dyDescent="0.25">
      <c r="A26" s="1194"/>
      <c r="B26" s="439" t="s">
        <v>971</v>
      </c>
      <c r="C26" s="401" t="s">
        <v>537</v>
      </c>
      <c r="D26" s="734">
        <v>0</v>
      </c>
      <c r="E26" s="735">
        <v>0</v>
      </c>
      <c r="F26" s="734">
        <f t="shared" si="1"/>
        <v>0</v>
      </c>
      <c r="G26" s="736">
        <v>0</v>
      </c>
    </row>
    <row r="27" spans="1:7" ht="31.5" x14ac:dyDescent="0.25">
      <c r="A27" s="230"/>
      <c r="B27" s="439" t="s">
        <v>889</v>
      </c>
      <c r="C27" s="401" t="s">
        <v>538</v>
      </c>
      <c r="D27" s="734">
        <v>450545.98</v>
      </c>
      <c r="E27" s="735">
        <v>0</v>
      </c>
      <c r="F27" s="734">
        <f t="shared" si="1"/>
        <v>450545.98</v>
      </c>
      <c r="G27" s="736">
        <v>2956628.18</v>
      </c>
    </row>
    <row r="28" spans="1:7" ht="15.95" customHeight="1" x14ac:dyDescent="0.2">
      <c r="A28" s="234" t="s">
        <v>648</v>
      </c>
      <c r="B28" s="438" t="s">
        <v>976</v>
      </c>
      <c r="C28" s="402" t="s">
        <v>540</v>
      </c>
      <c r="D28" s="49">
        <f>SUM(D29:D33)</f>
        <v>26514637.199999999</v>
      </c>
      <c r="E28" s="49">
        <f>SUM(E29:E33)</f>
        <v>0</v>
      </c>
      <c r="F28" s="49">
        <f>SUM(F29:F33)</f>
        <v>26514637.199999999</v>
      </c>
      <c r="G28" s="50">
        <f>SUM(G29:G33)</f>
        <v>32258026.850000001</v>
      </c>
    </row>
    <row r="29" spans="1:7" ht="15.95" customHeight="1" x14ac:dyDescent="0.25">
      <c r="A29" s="1193"/>
      <c r="B29" s="410" t="s">
        <v>649</v>
      </c>
      <c r="C29" s="401" t="s">
        <v>542</v>
      </c>
      <c r="D29" s="734">
        <v>15925.62</v>
      </c>
      <c r="E29" s="735">
        <v>0</v>
      </c>
      <c r="F29" s="734">
        <f>D29-E29</f>
        <v>15925.62</v>
      </c>
      <c r="G29" s="736">
        <v>14059.05</v>
      </c>
    </row>
    <row r="30" spans="1:7" ht="15.95" customHeight="1" x14ac:dyDescent="0.25">
      <c r="A30" s="1193"/>
      <c r="B30" s="231" t="s">
        <v>972</v>
      </c>
      <c r="C30" s="401" t="s">
        <v>544</v>
      </c>
      <c r="D30" s="734">
        <v>26498711.579999998</v>
      </c>
      <c r="E30" s="735">
        <v>0</v>
      </c>
      <c r="F30" s="734">
        <f>D30-E30</f>
        <v>26498711.579999998</v>
      </c>
      <c r="G30" s="736">
        <v>32243967.800000001</v>
      </c>
    </row>
    <row r="31" spans="1:7" ht="18.75" customHeight="1" x14ac:dyDescent="0.25">
      <c r="A31" s="1193"/>
      <c r="B31" s="231" t="s">
        <v>650</v>
      </c>
      <c r="C31" s="401" t="s">
        <v>546</v>
      </c>
      <c r="D31" s="734">
        <v>0</v>
      </c>
      <c r="E31" s="735">
        <v>0</v>
      </c>
      <c r="F31" s="734">
        <f>D31-E31</f>
        <v>0</v>
      </c>
      <c r="G31" s="736">
        <v>0</v>
      </c>
    </row>
    <row r="32" spans="1:7" ht="31.5" x14ac:dyDescent="0.25">
      <c r="A32" s="1193"/>
      <c r="B32" s="231" t="s">
        <v>547</v>
      </c>
      <c r="C32" s="401" t="s">
        <v>548</v>
      </c>
      <c r="D32" s="734">
        <v>0</v>
      </c>
      <c r="E32" s="735">
        <v>0</v>
      </c>
      <c r="F32" s="734">
        <f>D32-E32</f>
        <v>0</v>
      </c>
      <c r="G32" s="736">
        <v>0</v>
      </c>
    </row>
    <row r="33" spans="1:7" ht="17.25" customHeight="1" thickBot="1" x14ac:dyDescent="0.3">
      <c r="A33" s="1193"/>
      <c r="B33" s="459" t="s">
        <v>973</v>
      </c>
      <c r="C33" s="403" t="s">
        <v>550</v>
      </c>
      <c r="D33" s="737">
        <v>0</v>
      </c>
      <c r="E33" s="735">
        <v>0</v>
      </c>
      <c r="F33" s="734">
        <f>D33-E33</f>
        <v>0</v>
      </c>
      <c r="G33" s="738">
        <v>0</v>
      </c>
    </row>
    <row r="34" spans="1:7" ht="33" customHeight="1" thickBot="1" x14ac:dyDescent="0.25">
      <c r="A34" s="1195" t="s">
        <v>974</v>
      </c>
      <c r="B34" s="1196"/>
      <c r="C34" s="404" t="s">
        <v>552</v>
      </c>
      <c r="D34" s="223">
        <f>D35+D36</f>
        <v>332694.65000000002</v>
      </c>
      <c r="E34" s="223">
        <f>E35+E36</f>
        <v>0</v>
      </c>
      <c r="F34" s="223">
        <f>F35+F36</f>
        <v>332694.65000000002</v>
      </c>
      <c r="G34" s="224">
        <f>G35+G36</f>
        <v>276567.27</v>
      </c>
    </row>
    <row r="35" spans="1:7" ht="18" customHeight="1" thickBot="1" x14ac:dyDescent="0.3">
      <c r="A35" s="1207" t="s">
        <v>617</v>
      </c>
      <c r="B35" s="233" t="s">
        <v>651</v>
      </c>
      <c r="C35" s="405" t="s">
        <v>554</v>
      </c>
      <c r="D35" s="737">
        <v>132579.15</v>
      </c>
      <c r="E35" s="739">
        <v>0</v>
      </c>
      <c r="F35" s="740">
        <f>D35-E35</f>
        <v>132579.15</v>
      </c>
      <c r="G35" s="741">
        <v>95204.84</v>
      </c>
    </row>
    <row r="36" spans="1:7" ht="18" customHeight="1" thickBot="1" x14ac:dyDescent="0.3">
      <c r="A36" s="1208"/>
      <c r="B36" s="235" t="s">
        <v>652</v>
      </c>
      <c r="C36" s="403" t="s">
        <v>556</v>
      </c>
      <c r="D36" s="737">
        <v>200115.5</v>
      </c>
      <c r="E36" s="742">
        <v>0</v>
      </c>
      <c r="F36" s="737">
        <f>D36-E36</f>
        <v>200115.5</v>
      </c>
      <c r="G36" s="738">
        <v>181362.43</v>
      </c>
    </row>
    <row r="37" spans="1:7" ht="18" customHeight="1" thickBot="1" x14ac:dyDescent="0.25">
      <c r="A37" s="1188" t="s">
        <v>975</v>
      </c>
      <c r="B37" s="1189"/>
      <c r="C37" s="406" t="s">
        <v>558</v>
      </c>
      <c r="D37" s="223">
        <f>T24a_Aktíva_1!D6+T24b_Aktíva_2!D6+T24b_Aktíva_2!D34</f>
        <v>411419392.54999995</v>
      </c>
      <c r="E37" s="223">
        <f>T24a_Aktíva_1!E6+T24b_Aktíva_2!E6+T24b_Aktíva_2!E34</f>
        <v>101807212.39999999</v>
      </c>
      <c r="F37" s="223">
        <f>T24a_Aktíva_1!F6+T24b_Aktíva_2!F6+T24b_Aktíva_2!F34</f>
        <v>309612180.14999998</v>
      </c>
      <c r="G37" s="224">
        <f>T24a_Aktíva_1!G6+T24b_Aktíva_2!G6+T24b_Aktíva_2!G34</f>
        <v>251967433.28999999</v>
      </c>
    </row>
    <row r="38" spans="1:7" ht="18" customHeight="1" x14ac:dyDescent="0.2">
      <c r="A38" s="186"/>
      <c r="B38" s="186"/>
      <c r="C38" s="187"/>
    </row>
    <row r="39" spans="1:7" ht="18" customHeight="1" x14ac:dyDescent="0.25">
      <c r="A39" s="186"/>
      <c r="B39" s="186"/>
      <c r="C39" s="187"/>
      <c r="G39" s="2"/>
    </row>
    <row r="40" spans="1:7" ht="18" customHeight="1" x14ac:dyDescent="0.2"/>
    <row r="41" spans="1:7" ht="18" customHeight="1" x14ac:dyDescent="0.2"/>
    <row r="42" spans="1:7" ht="18" customHeight="1" x14ac:dyDescent="0.2"/>
    <row r="43" spans="1:7" ht="18" customHeight="1" x14ac:dyDescent="0.2"/>
    <row r="44" spans="1:7" ht="18" customHeight="1" x14ac:dyDescent="0.2"/>
    <row r="45" spans="1:7" ht="18" customHeight="1" x14ac:dyDescent="0.2"/>
    <row r="46" spans="1:7" ht="18" customHeight="1" x14ac:dyDescent="0.2"/>
  </sheetData>
  <mergeCells count="14">
    <mergeCell ref="A37:B37"/>
    <mergeCell ref="A2:G2"/>
    <mergeCell ref="A1:G1"/>
    <mergeCell ref="A15:A18"/>
    <mergeCell ref="A20:A26"/>
    <mergeCell ref="A29:A33"/>
    <mergeCell ref="A34:B34"/>
    <mergeCell ref="A3:B4"/>
    <mergeCell ref="C3:C4"/>
    <mergeCell ref="D3:F3"/>
    <mergeCell ref="A5:B5"/>
    <mergeCell ref="A6:B6"/>
    <mergeCell ref="A8:A13"/>
    <mergeCell ref="A35:A36"/>
  </mergeCells>
  <pageMargins left="0.39370078740157483" right="0.35433070866141736" top="0.52" bottom="0.98425196850393704" header="0.51181102362204722" footer="0.51181102362204722"/>
  <pageSetup paperSize="9" scale="7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4"/>
  <sheetViews>
    <sheetView zoomScale="85" zoomScaleNormal="85" workbookViewId="0">
      <pane xSplit="5" ySplit="5" topLeftCell="F42" activePane="bottomRight" state="frozen"/>
      <selection pane="topRight" activeCell="F1" sqref="F1"/>
      <selection pane="bottomLeft" activeCell="A6" sqref="A6"/>
      <selection pane="bottomRight" activeCell="G51" sqref="G51"/>
    </sheetView>
  </sheetViews>
  <sheetFormatPr defaultColWidth="9.140625" defaultRowHeight="12.75" x14ac:dyDescent="0.2"/>
  <cols>
    <col min="1" max="1" width="4" style="185" customWidth="1"/>
    <col min="2" max="2" width="60.140625" style="185" customWidth="1"/>
    <col min="3" max="3" width="6.5703125" style="185" customWidth="1"/>
    <col min="4" max="5" width="11.5703125" style="185" hidden="1" customWidth="1"/>
    <col min="6" max="6" width="18" style="189" customWidth="1"/>
    <col min="7" max="7" width="16.5703125" style="190" customWidth="1"/>
    <col min="8" max="16384" width="9.140625" style="185"/>
  </cols>
  <sheetData>
    <row r="1" spans="1:10" ht="38.25" customHeight="1" thickBot="1" x14ac:dyDescent="0.25">
      <c r="A1" s="1086" t="s">
        <v>1257</v>
      </c>
      <c r="B1" s="1087"/>
      <c r="C1" s="1087"/>
      <c r="D1" s="1087"/>
      <c r="E1" s="1087"/>
      <c r="F1" s="1087"/>
      <c r="G1" s="1088"/>
    </row>
    <row r="2" spans="1:10" ht="33" customHeight="1" thickBot="1" x14ac:dyDescent="0.25">
      <c r="A2" s="1231" t="s">
        <v>426</v>
      </c>
      <c r="B2" s="1232"/>
      <c r="C2" s="1232"/>
      <c r="D2" s="1232"/>
      <c r="E2" s="1232"/>
      <c r="F2" s="1232"/>
      <c r="G2" s="1233"/>
    </row>
    <row r="3" spans="1:10" ht="35.25" customHeight="1" x14ac:dyDescent="0.2">
      <c r="A3" s="1211" t="s">
        <v>653</v>
      </c>
      <c r="B3" s="1212"/>
      <c r="C3" s="1212"/>
      <c r="D3" s="1215" t="s">
        <v>637</v>
      </c>
      <c r="E3" s="1216"/>
      <c r="F3" s="1217"/>
      <c r="G3" s="1221" t="s">
        <v>614</v>
      </c>
    </row>
    <row r="4" spans="1:10" ht="42.75" customHeight="1" thickBot="1" x14ac:dyDescent="0.25">
      <c r="A4" s="1213"/>
      <c r="B4" s="1214"/>
      <c r="C4" s="1214"/>
      <c r="D4" s="1218"/>
      <c r="E4" s="1219"/>
      <c r="F4" s="1220"/>
      <c r="G4" s="1222"/>
    </row>
    <row r="5" spans="1:10" ht="19.5" customHeight="1" thickBot="1" x14ac:dyDescent="0.3">
      <c r="A5" s="1223" t="s">
        <v>615</v>
      </c>
      <c r="B5" s="1224"/>
      <c r="C5" s="273" t="s">
        <v>616</v>
      </c>
      <c r="D5" s="273">
        <v>1</v>
      </c>
      <c r="E5" s="273">
        <v>2</v>
      </c>
      <c r="F5" s="274">
        <v>5</v>
      </c>
      <c r="G5" s="275">
        <v>6</v>
      </c>
    </row>
    <row r="6" spans="1:10" ht="30.75" customHeight="1" x14ac:dyDescent="0.25">
      <c r="A6" s="1225" t="s">
        <v>983</v>
      </c>
      <c r="B6" s="1226"/>
      <c r="C6" s="321" t="s">
        <v>567</v>
      </c>
      <c r="D6" s="322">
        <f>D7+D13</f>
        <v>207980</v>
      </c>
      <c r="E6" s="322">
        <f>E7+E13</f>
        <v>0</v>
      </c>
      <c r="F6" s="323">
        <f>F7+F13+F17+F18</f>
        <v>141790420.19999999</v>
      </c>
      <c r="G6" s="324">
        <f>G7+G13+G17+G18</f>
        <v>146680874.90000001</v>
      </c>
      <c r="H6" s="320"/>
      <c r="I6" s="297"/>
      <c r="J6" s="297"/>
    </row>
    <row r="7" spans="1:10" ht="15.75" x14ac:dyDescent="0.25">
      <c r="A7" s="236" t="s">
        <v>617</v>
      </c>
      <c r="B7" s="229" t="s">
        <v>984</v>
      </c>
      <c r="C7" s="196" t="s">
        <v>568</v>
      </c>
      <c r="D7" s="192">
        <f>SUM(D8:D10)</f>
        <v>193386</v>
      </c>
      <c r="E7" s="192">
        <f>SUM(E8:E10)</f>
        <v>0</v>
      </c>
      <c r="F7" s="49">
        <f>SUM(F8:F12)</f>
        <v>140385084.49000001</v>
      </c>
      <c r="G7" s="50">
        <f>SUM(G8:G12)</f>
        <v>144835226.20000002</v>
      </c>
    </row>
    <row r="8" spans="1:10" ht="18" customHeight="1" x14ac:dyDescent="0.25">
      <c r="A8" s="1193"/>
      <c r="B8" s="231" t="s">
        <v>847</v>
      </c>
      <c r="C8" s="193" t="s">
        <v>569</v>
      </c>
      <c r="D8" s="194">
        <v>169934</v>
      </c>
      <c r="E8" s="194"/>
      <c r="F8" s="153">
        <v>123159852.53</v>
      </c>
      <c r="G8" s="227">
        <v>122925778.45</v>
      </c>
    </row>
    <row r="9" spans="1:10" ht="15.95" customHeight="1" x14ac:dyDescent="0.25">
      <c r="A9" s="1193"/>
      <c r="B9" s="231" t="s">
        <v>665</v>
      </c>
      <c r="C9" s="193" t="s">
        <v>570</v>
      </c>
      <c r="D9" s="194"/>
      <c r="E9" s="194"/>
      <c r="F9" s="153">
        <v>793178.8</v>
      </c>
      <c r="G9" s="227">
        <v>855979.7</v>
      </c>
    </row>
    <row r="10" spans="1:10" ht="15.75" x14ac:dyDescent="0.25">
      <c r="A10" s="1194"/>
      <c r="B10" s="231" t="s">
        <v>848</v>
      </c>
      <c r="C10" s="193" t="s">
        <v>571</v>
      </c>
      <c r="D10" s="194">
        <v>23452</v>
      </c>
      <c r="E10" s="194"/>
      <c r="F10" s="153">
        <v>16432053.16</v>
      </c>
      <c r="G10" s="227">
        <v>21053468.050000001</v>
      </c>
    </row>
    <row r="11" spans="1:10" ht="18" customHeight="1" x14ac:dyDescent="0.25">
      <c r="A11" s="557"/>
      <c r="B11" s="231" t="s">
        <v>654</v>
      </c>
      <c r="C11" s="193" t="s">
        <v>572</v>
      </c>
      <c r="D11" s="194"/>
      <c r="E11" s="194"/>
      <c r="F11" s="153">
        <v>0</v>
      </c>
      <c r="G11" s="227">
        <v>0</v>
      </c>
    </row>
    <row r="12" spans="1:10" ht="15.75" x14ac:dyDescent="0.25">
      <c r="A12" s="557"/>
      <c r="B12" s="231" t="s">
        <v>655</v>
      </c>
      <c r="C12" s="193" t="s">
        <v>573</v>
      </c>
      <c r="D12" s="194"/>
      <c r="E12" s="194"/>
      <c r="F12" s="153">
        <v>0</v>
      </c>
      <c r="G12" s="227">
        <v>0</v>
      </c>
    </row>
    <row r="13" spans="1:10" ht="18" customHeight="1" x14ac:dyDescent="0.25">
      <c r="A13" s="237" t="s">
        <v>623</v>
      </c>
      <c r="B13" s="238" t="s">
        <v>985</v>
      </c>
      <c r="C13" s="196" t="s">
        <v>574</v>
      </c>
      <c r="D13" s="192">
        <f>SUM(D14:D16)</f>
        <v>14594</v>
      </c>
      <c r="E13" s="192">
        <f>SUM(E14:E16)</f>
        <v>0</v>
      </c>
      <c r="F13" s="49">
        <f>SUM(F14:F17)</f>
        <v>1315542.17</v>
      </c>
      <c r="G13" s="50">
        <f>SUM(G14:G17)</f>
        <v>1127148.48</v>
      </c>
    </row>
    <row r="14" spans="1:10" ht="14.25" customHeight="1" x14ac:dyDescent="0.25">
      <c r="A14" s="1206"/>
      <c r="B14" s="231" t="s">
        <v>666</v>
      </c>
      <c r="C14" s="193" t="s">
        <v>575</v>
      </c>
      <c r="D14" s="194">
        <v>3949</v>
      </c>
      <c r="E14" s="194"/>
      <c r="F14" s="153">
        <v>773222.27</v>
      </c>
      <c r="G14" s="227">
        <v>615626.54</v>
      </c>
    </row>
    <row r="15" spans="1:10" ht="15.75" x14ac:dyDescent="0.25">
      <c r="A15" s="1206"/>
      <c r="B15" s="231" t="s">
        <v>668</v>
      </c>
      <c r="C15" s="193" t="s">
        <v>576</v>
      </c>
      <c r="D15" s="194">
        <v>-5033</v>
      </c>
      <c r="E15" s="194"/>
      <c r="F15" s="153">
        <v>685.95</v>
      </c>
      <c r="G15" s="227">
        <v>685.95</v>
      </c>
    </row>
    <row r="16" spans="1:10" ht="15.75" x14ac:dyDescent="0.25">
      <c r="A16" s="1206"/>
      <c r="B16" s="231" t="s">
        <v>667</v>
      </c>
      <c r="C16" s="193" t="s">
        <v>577</v>
      </c>
      <c r="D16" s="195">
        <v>15678</v>
      </c>
      <c r="E16" s="195"/>
      <c r="F16" s="153">
        <v>541633.94999999995</v>
      </c>
      <c r="G16" s="227">
        <v>510835.99</v>
      </c>
    </row>
    <row r="17" spans="1:8" ht="36" customHeight="1" x14ac:dyDescent="0.25">
      <c r="A17" s="556" t="s">
        <v>634</v>
      </c>
      <c r="B17" s="239" t="s">
        <v>986</v>
      </c>
      <c r="C17" s="196" t="s">
        <v>578</v>
      </c>
      <c r="D17" s="197"/>
      <c r="E17" s="197"/>
      <c r="F17" s="153">
        <v>0</v>
      </c>
      <c r="G17" s="227">
        <v>0</v>
      </c>
    </row>
    <row r="18" spans="1:8" ht="31.5" x14ac:dyDescent="0.25">
      <c r="A18" s="556" t="s">
        <v>648</v>
      </c>
      <c r="B18" s="238" t="s">
        <v>987</v>
      </c>
      <c r="C18" s="196" t="s">
        <v>579</v>
      </c>
      <c r="D18" s="198"/>
      <c r="E18" s="198"/>
      <c r="F18" s="199">
        <v>89793.54</v>
      </c>
      <c r="G18" s="200">
        <v>718500.22</v>
      </c>
      <c r="H18" s="743"/>
    </row>
    <row r="19" spans="1:8" ht="15" customHeight="1" x14ac:dyDescent="0.25">
      <c r="A19" s="1209" t="s">
        <v>988</v>
      </c>
      <c r="B19" s="1210"/>
      <c r="C19" s="191" t="s">
        <v>580</v>
      </c>
      <c r="D19" s="195">
        <v>77905</v>
      </c>
      <c r="E19" s="195"/>
      <c r="F19" s="49">
        <f>F20+F24+F32+F42</f>
        <v>8011634.3899999997</v>
      </c>
      <c r="G19" s="50">
        <f>G20+G24+G32+G42</f>
        <v>15150267.450000001</v>
      </c>
    </row>
    <row r="20" spans="1:8" ht="15.75" x14ac:dyDescent="0.25">
      <c r="A20" s="234" t="s">
        <v>617</v>
      </c>
      <c r="B20" s="240" t="s">
        <v>989</v>
      </c>
      <c r="C20" s="196" t="s">
        <v>581</v>
      </c>
      <c r="D20" s="201"/>
      <c r="E20" s="201"/>
      <c r="F20" s="49">
        <f>SUM(F21:F23)</f>
        <v>16951.48</v>
      </c>
      <c r="G20" s="50">
        <f>SUM(G21:G23)</f>
        <v>136524.53</v>
      </c>
    </row>
    <row r="21" spans="1:8" ht="13.5" customHeight="1" x14ac:dyDescent="0.25">
      <c r="A21" s="234"/>
      <c r="B21" s="233" t="s">
        <v>669</v>
      </c>
      <c r="C21" s="193" t="s">
        <v>582</v>
      </c>
      <c r="D21" s="194"/>
      <c r="E21" s="194"/>
      <c r="F21" s="153">
        <v>0</v>
      </c>
      <c r="G21" s="227">
        <v>0</v>
      </c>
    </row>
    <row r="22" spans="1:8" ht="15.75" x14ac:dyDescent="0.25">
      <c r="A22" s="234"/>
      <c r="B22" s="233" t="s">
        <v>670</v>
      </c>
      <c r="C22" s="202" t="s">
        <v>583</v>
      </c>
      <c r="D22" s="194"/>
      <c r="E22" s="194"/>
      <c r="F22" s="153">
        <v>0</v>
      </c>
      <c r="G22" s="227">
        <v>128533.05</v>
      </c>
    </row>
    <row r="23" spans="1:8" ht="15.75" x14ac:dyDescent="0.25">
      <c r="A23" s="234"/>
      <c r="B23" s="233" t="s">
        <v>671</v>
      </c>
      <c r="C23" s="202" t="s">
        <v>584</v>
      </c>
      <c r="D23" s="194"/>
      <c r="E23" s="194"/>
      <c r="F23" s="153">
        <v>16951.48</v>
      </c>
      <c r="G23" s="227">
        <v>7991.48</v>
      </c>
    </row>
    <row r="24" spans="1:8" ht="14.25" customHeight="1" x14ac:dyDescent="0.25">
      <c r="A24" s="234" t="s">
        <v>623</v>
      </c>
      <c r="B24" s="229" t="s">
        <v>990</v>
      </c>
      <c r="C24" s="196" t="s">
        <v>585</v>
      </c>
      <c r="D24" s="203">
        <f>SUM(D25:D31)</f>
        <v>327</v>
      </c>
      <c r="E24" s="203">
        <f>SUM(E25:E31)</f>
        <v>0</v>
      </c>
      <c r="F24" s="49">
        <f>SUM(F25:F31)</f>
        <v>30107.200000000001</v>
      </c>
      <c r="G24" s="50">
        <f>SUM(G25:G31)</f>
        <v>38073.94</v>
      </c>
    </row>
    <row r="25" spans="1:8" ht="15.75" x14ac:dyDescent="0.25">
      <c r="A25" s="1193"/>
      <c r="B25" s="233" t="s">
        <v>672</v>
      </c>
      <c r="C25" s="202" t="s">
        <v>586</v>
      </c>
      <c r="D25" s="194"/>
      <c r="E25" s="194"/>
      <c r="F25" s="153">
        <v>30107.200000000001</v>
      </c>
      <c r="G25" s="227">
        <v>38073.94</v>
      </c>
    </row>
    <row r="26" spans="1:8" ht="15.75" x14ac:dyDescent="0.25">
      <c r="A26" s="1193"/>
      <c r="B26" s="233" t="s">
        <v>673</v>
      </c>
      <c r="C26" s="202" t="s">
        <v>587</v>
      </c>
      <c r="D26" s="194"/>
      <c r="E26" s="194"/>
      <c r="F26" s="153">
        <v>0</v>
      </c>
      <c r="G26" s="227">
        <v>0</v>
      </c>
    </row>
    <row r="27" spans="1:8" ht="15.75" x14ac:dyDescent="0.25">
      <c r="A27" s="1193"/>
      <c r="B27" s="231" t="s">
        <v>674</v>
      </c>
      <c r="C27" s="202" t="s">
        <v>588</v>
      </c>
      <c r="D27" s="194"/>
      <c r="E27" s="194"/>
      <c r="F27" s="153">
        <v>0</v>
      </c>
      <c r="G27" s="227">
        <v>0</v>
      </c>
    </row>
    <row r="28" spans="1:8" ht="15.75" x14ac:dyDescent="0.25">
      <c r="A28" s="1193"/>
      <c r="B28" s="231" t="s">
        <v>675</v>
      </c>
      <c r="C28" s="202" t="s">
        <v>589</v>
      </c>
      <c r="D28" s="194"/>
      <c r="E28" s="194"/>
      <c r="F28" s="153">
        <v>0</v>
      </c>
      <c r="G28" s="227">
        <v>0</v>
      </c>
    </row>
    <row r="29" spans="1:8" ht="15.75" x14ac:dyDescent="0.25">
      <c r="A29" s="1193"/>
      <c r="B29" s="231" t="s">
        <v>676</v>
      </c>
      <c r="C29" s="202" t="s">
        <v>590</v>
      </c>
      <c r="D29" s="194">
        <v>327</v>
      </c>
      <c r="E29" s="194"/>
      <c r="F29" s="153">
        <v>0</v>
      </c>
      <c r="G29" s="227">
        <v>0</v>
      </c>
    </row>
    <row r="30" spans="1:8" ht="15.75" x14ac:dyDescent="0.25">
      <c r="A30" s="1193"/>
      <c r="B30" s="231" t="s">
        <v>677</v>
      </c>
      <c r="C30" s="202" t="s">
        <v>591</v>
      </c>
      <c r="D30" s="194"/>
      <c r="E30" s="194"/>
      <c r="F30" s="153">
        <v>0</v>
      </c>
      <c r="G30" s="227">
        <v>0</v>
      </c>
    </row>
    <row r="31" spans="1:8" ht="15.75" x14ac:dyDescent="0.25">
      <c r="A31" s="1193"/>
      <c r="B31" s="231" t="s">
        <v>1258</v>
      </c>
      <c r="C31" s="202" t="s">
        <v>592</v>
      </c>
      <c r="D31" s="194"/>
      <c r="E31" s="194"/>
      <c r="F31" s="153">
        <v>0</v>
      </c>
      <c r="G31" s="227">
        <v>0</v>
      </c>
    </row>
    <row r="32" spans="1:8" ht="15.75" x14ac:dyDescent="0.25">
      <c r="A32" s="234" t="s">
        <v>634</v>
      </c>
      <c r="B32" s="229" t="s">
        <v>991</v>
      </c>
      <c r="C32" s="196" t="s">
        <v>593</v>
      </c>
      <c r="D32" s="203">
        <f>SUM(D33:D41)</f>
        <v>306</v>
      </c>
      <c r="E32" s="203">
        <f>SUM(E33:E41)</f>
        <v>0</v>
      </c>
      <c r="F32" s="49">
        <f>SUM(F33:F41)</f>
        <v>7964531.4100000001</v>
      </c>
      <c r="G32" s="50">
        <f>SUM(G33:G41)</f>
        <v>14975668.98</v>
      </c>
    </row>
    <row r="33" spans="1:7" ht="15.75" x14ac:dyDescent="0.25">
      <c r="A33" s="1193"/>
      <c r="B33" s="231" t="s">
        <v>656</v>
      </c>
      <c r="C33" s="202" t="s">
        <v>594</v>
      </c>
      <c r="D33" s="194">
        <v>133</v>
      </c>
      <c r="E33" s="194"/>
      <c r="F33" s="153">
        <v>2496235.9700000002</v>
      </c>
      <c r="G33" s="227">
        <v>7098183.9900000002</v>
      </c>
    </row>
    <row r="34" spans="1:7" ht="15.75" x14ac:dyDescent="0.25">
      <c r="A34" s="1193"/>
      <c r="B34" s="231" t="s">
        <v>678</v>
      </c>
      <c r="C34" s="202" t="s">
        <v>595</v>
      </c>
      <c r="D34" s="195">
        <v>25</v>
      </c>
      <c r="E34" s="195"/>
      <c r="F34" s="153">
        <v>2402199.06</v>
      </c>
      <c r="G34" s="227">
        <v>2384646.39</v>
      </c>
    </row>
    <row r="35" spans="1:7" ht="15.75" x14ac:dyDescent="0.25">
      <c r="A35" s="1193"/>
      <c r="B35" s="231" t="s">
        <v>679</v>
      </c>
      <c r="C35" s="202" t="s">
        <v>596</v>
      </c>
      <c r="D35" s="194"/>
      <c r="E35" s="194"/>
      <c r="F35" s="153">
        <v>1513650.87</v>
      </c>
      <c r="G35" s="227">
        <v>1504838.79</v>
      </c>
    </row>
    <row r="36" spans="1:7" ht="15.75" x14ac:dyDescent="0.25">
      <c r="A36" s="1193"/>
      <c r="B36" s="231" t="s">
        <v>680</v>
      </c>
      <c r="C36" s="202" t="s">
        <v>597</v>
      </c>
      <c r="D36" s="194"/>
      <c r="E36" s="194"/>
      <c r="F36" s="153">
        <v>638941.52</v>
      </c>
      <c r="G36" s="227">
        <v>559574.18999999994</v>
      </c>
    </row>
    <row r="37" spans="1:7" ht="31.5" x14ac:dyDescent="0.25">
      <c r="A37" s="1193"/>
      <c r="B37" s="231" t="s">
        <v>681</v>
      </c>
      <c r="C37" s="202" t="s">
        <v>598</v>
      </c>
      <c r="D37" s="194"/>
      <c r="E37" s="194"/>
      <c r="F37" s="153">
        <v>0</v>
      </c>
      <c r="G37" s="227">
        <v>0</v>
      </c>
    </row>
    <row r="38" spans="1:7" ht="13.5" customHeight="1" x14ac:dyDescent="0.25">
      <c r="A38" s="1193"/>
      <c r="B38" s="231" t="s">
        <v>686</v>
      </c>
      <c r="C38" s="202" t="s">
        <v>599</v>
      </c>
      <c r="D38" s="194"/>
      <c r="E38" s="194"/>
      <c r="F38" s="153">
        <v>0</v>
      </c>
      <c r="G38" s="227">
        <v>0</v>
      </c>
    </row>
    <row r="39" spans="1:7" ht="15.75" x14ac:dyDescent="0.25">
      <c r="A39" s="1193"/>
      <c r="B39" s="231" t="s">
        <v>682</v>
      </c>
      <c r="C39" s="202" t="s">
        <v>600</v>
      </c>
      <c r="D39" s="194"/>
      <c r="E39" s="194"/>
      <c r="F39" s="153">
        <v>0</v>
      </c>
      <c r="G39" s="227">
        <v>0</v>
      </c>
    </row>
    <row r="40" spans="1:7" ht="15.75" x14ac:dyDescent="0.25">
      <c r="A40" s="1193"/>
      <c r="B40" s="231" t="s">
        <v>683</v>
      </c>
      <c r="C40" s="202" t="s">
        <v>601</v>
      </c>
      <c r="D40" s="194"/>
      <c r="E40" s="194"/>
      <c r="F40" s="153">
        <v>0</v>
      </c>
      <c r="G40" s="227">
        <v>0</v>
      </c>
    </row>
    <row r="41" spans="1:7" ht="15.75" x14ac:dyDescent="0.25">
      <c r="A41" s="1194"/>
      <c r="B41" s="231" t="s">
        <v>992</v>
      </c>
      <c r="C41" s="202" t="s">
        <v>602</v>
      </c>
      <c r="D41" s="194">
        <v>148</v>
      </c>
      <c r="E41" s="194"/>
      <c r="F41" s="153">
        <v>913503.99</v>
      </c>
      <c r="G41" s="227">
        <v>3428425.62</v>
      </c>
    </row>
    <row r="42" spans="1:7" ht="15" customHeight="1" x14ac:dyDescent="0.25">
      <c r="A42" s="236" t="s">
        <v>648</v>
      </c>
      <c r="B42" s="229" t="s">
        <v>993</v>
      </c>
      <c r="C42" s="196" t="s">
        <v>603</v>
      </c>
      <c r="D42" s="203">
        <f>SUM(D43:D45)</f>
        <v>0</v>
      </c>
      <c r="E42" s="203">
        <f>SUM(E43:E45)</f>
        <v>0</v>
      </c>
      <c r="F42" s="49">
        <f>SUM(F43:F45)</f>
        <v>44.3</v>
      </c>
      <c r="G42" s="50">
        <f>SUM(G43:G45)</f>
        <v>0</v>
      </c>
    </row>
    <row r="43" spans="1:7" ht="15.75" x14ac:dyDescent="0.25">
      <c r="A43" s="1193"/>
      <c r="B43" s="231" t="s">
        <v>684</v>
      </c>
      <c r="C43" s="202" t="s">
        <v>604</v>
      </c>
      <c r="D43" s="194"/>
      <c r="E43" s="194"/>
      <c r="F43" s="153">
        <v>0</v>
      </c>
      <c r="G43" s="227">
        <v>0</v>
      </c>
    </row>
    <row r="44" spans="1:7" ht="15.75" x14ac:dyDescent="0.25">
      <c r="A44" s="1193"/>
      <c r="B44" s="231" t="s">
        <v>657</v>
      </c>
      <c r="C44" s="202" t="s">
        <v>605</v>
      </c>
      <c r="D44" s="194"/>
      <c r="E44" s="194"/>
      <c r="F44" s="153">
        <v>44.3</v>
      </c>
      <c r="G44" s="227">
        <v>0</v>
      </c>
    </row>
    <row r="45" spans="1:7" ht="15.75" x14ac:dyDescent="0.25">
      <c r="A45" s="1194"/>
      <c r="B45" s="231" t="s">
        <v>994</v>
      </c>
      <c r="C45" s="202" t="s">
        <v>606</v>
      </c>
      <c r="D45" s="194"/>
      <c r="E45" s="194"/>
      <c r="F45" s="153">
        <v>0</v>
      </c>
      <c r="G45" s="227">
        <v>0</v>
      </c>
    </row>
    <row r="46" spans="1:7" ht="14.25" customHeight="1" x14ac:dyDescent="0.25">
      <c r="A46" s="1227" t="s">
        <v>995</v>
      </c>
      <c r="B46" s="1228"/>
      <c r="C46" s="191" t="s">
        <v>607</v>
      </c>
      <c r="D46" s="204">
        <f>SUM(D47:D48)</f>
        <v>77272</v>
      </c>
      <c r="E46" s="204">
        <f>SUM(E47:E48)</f>
        <v>0</v>
      </c>
      <c r="F46" s="49">
        <f>SUM(F47:F48)</f>
        <v>159810125.56</v>
      </c>
      <c r="G46" s="50">
        <f>SUM(G47:G48)</f>
        <v>90136290.939999998</v>
      </c>
    </row>
    <row r="47" spans="1:7" ht="14.25" customHeight="1" x14ac:dyDescent="0.25">
      <c r="A47" s="1193"/>
      <c r="B47" s="231" t="s">
        <v>685</v>
      </c>
      <c r="C47" s="202" t="s">
        <v>608</v>
      </c>
      <c r="D47" s="194"/>
      <c r="E47" s="194"/>
      <c r="F47" s="153">
        <v>701654.37</v>
      </c>
      <c r="G47" s="227">
        <v>962689.59</v>
      </c>
    </row>
    <row r="48" spans="1:7" ht="15.75" x14ac:dyDescent="0.25">
      <c r="A48" s="1193"/>
      <c r="B48" s="231" t="s">
        <v>996</v>
      </c>
      <c r="C48" s="202" t="s">
        <v>609</v>
      </c>
      <c r="D48" s="194">
        <v>77272</v>
      </c>
      <c r="E48" s="194"/>
      <c r="F48" s="153">
        <v>159108471.19</v>
      </c>
      <c r="G48" s="227">
        <v>89173601.349999994</v>
      </c>
    </row>
    <row r="49" spans="1:7" ht="17.25" customHeight="1" thickBot="1" x14ac:dyDescent="0.3">
      <c r="A49" s="1229" t="s">
        <v>997</v>
      </c>
      <c r="B49" s="1230"/>
      <c r="C49" s="560" t="s">
        <v>610</v>
      </c>
      <c r="D49" s="561">
        <f>D6+D19</f>
        <v>285885</v>
      </c>
      <c r="E49" s="561">
        <f>E6+E19</f>
        <v>0</v>
      </c>
      <c r="F49" s="142">
        <f>F6+F19+F46</f>
        <v>309612180.14999998</v>
      </c>
      <c r="G49" s="53">
        <f>G6+G19+G46</f>
        <v>251967433.28999999</v>
      </c>
    </row>
    <row r="50" spans="1:7" ht="18" customHeight="1" x14ac:dyDescent="0.25">
      <c r="A50" s="205"/>
      <c r="B50" s="205"/>
      <c r="C50" s="206"/>
      <c r="D50" s="205"/>
      <c r="E50" s="205"/>
      <c r="F50" s="207"/>
      <c r="G50" s="208"/>
    </row>
    <row r="51" spans="1:7" ht="18" customHeight="1" x14ac:dyDescent="0.25">
      <c r="A51" s="205"/>
      <c r="B51" s="205"/>
      <c r="C51" s="206"/>
      <c r="D51" s="205"/>
      <c r="E51" s="205"/>
      <c r="F51" s="207"/>
      <c r="G51" s="2"/>
    </row>
    <row r="52" spans="1:7" ht="18" customHeight="1" x14ac:dyDescent="0.25">
      <c r="A52" s="205"/>
      <c r="B52" s="205"/>
      <c r="C52" s="205"/>
      <c r="D52" s="205"/>
      <c r="E52" s="205"/>
      <c r="F52" s="207"/>
      <c r="G52" s="208"/>
    </row>
    <row r="53" spans="1:7" ht="18" customHeight="1" x14ac:dyDescent="0.25">
      <c r="A53" s="205"/>
      <c r="B53" s="205"/>
      <c r="C53" s="205"/>
      <c r="D53" s="205"/>
      <c r="E53" s="205"/>
      <c r="F53" s="207"/>
      <c r="G53" s="208"/>
    </row>
    <row r="54" spans="1:7" ht="18" customHeight="1" x14ac:dyDescent="0.2"/>
  </sheetData>
  <mergeCells count="17">
    <mergeCell ref="A46:B46"/>
    <mergeCell ref="A47:A48"/>
    <mergeCell ref="A49:B49"/>
    <mergeCell ref="A2:G2"/>
    <mergeCell ref="A33:A41"/>
    <mergeCell ref="A43:A45"/>
    <mergeCell ref="A1:G1"/>
    <mergeCell ref="A8:A10"/>
    <mergeCell ref="A14:A16"/>
    <mergeCell ref="A19:B19"/>
    <mergeCell ref="A25:A31"/>
    <mergeCell ref="A3:B4"/>
    <mergeCell ref="C3:C4"/>
    <mergeCell ref="D3:F4"/>
    <mergeCell ref="G3:G4"/>
    <mergeCell ref="A5:B5"/>
    <mergeCell ref="A6:B6"/>
  </mergeCells>
  <printOptions horizontalCentered="1" verticalCentered="1"/>
  <pageMargins left="0.35433070866141736" right="0.31496062992125984" top="0.51181102362204722" bottom="0.35" header="0.51181102362204722" footer="0.35433070866141736"/>
  <pageSetup paperSize="9" scale="9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5703125" customWidth="1"/>
    <col min="5" max="5" width="14.42578125" customWidth="1"/>
    <col min="6" max="6" width="13.5703125" customWidth="1"/>
  </cols>
  <sheetData>
    <row r="1" spans="1:6" ht="45.75" customHeight="1" x14ac:dyDescent="0.2">
      <c r="A1" s="1178" t="s">
        <v>565</v>
      </c>
      <c r="B1" s="1179"/>
      <c r="C1" s="1179"/>
      <c r="D1" s="1179"/>
      <c r="E1" s="1179"/>
      <c r="F1" s="1235"/>
    </row>
    <row r="2" spans="1:6" ht="19.5" customHeight="1" x14ac:dyDescent="0.25">
      <c r="A2" s="1234" t="s">
        <v>428</v>
      </c>
      <c r="B2" s="1234"/>
      <c r="C2" s="1234"/>
      <c r="D2" s="1234"/>
      <c r="E2" s="1234"/>
      <c r="F2" s="1234"/>
    </row>
    <row r="3" spans="1:6" ht="42" customHeight="1" x14ac:dyDescent="0.2">
      <c r="A3" s="172" t="s">
        <v>441</v>
      </c>
      <c r="B3" s="173" t="s">
        <v>442</v>
      </c>
      <c r="C3" s="180" t="s">
        <v>611</v>
      </c>
      <c r="D3" s="173" t="s">
        <v>561</v>
      </c>
      <c r="E3" s="173" t="s">
        <v>562</v>
      </c>
      <c r="F3" s="173" t="s">
        <v>563</v>
      </c>
    </row>
    <row r="4" spans="1:6" ht="15.75" x14ac:dyDescent="0.25">
      <c r="A4" s="174" t="s">
        <v>443</v>
      </c>
      <c r="B4" s="174" t="s">
        <v>444</v>
      </c>
      <c r="C4" s="175"/>
      <c r="D4" s="175"/>
      <c r="E4" s="175"/>
      <c r="F4" s="175"/>
    </row>
    <row r="5" spans="1:6" ht="15.75" x14ac:dyDescent="0.25">
      <c r="A5" s="179" t="s">
        <v>445</v>
      </c>
      <c r="B5" s="174" t="s">
        <v>446</v>
      </c>
      <c r="C5" s="175"/>
      <c r="D5" s="175"/>
      <c r="E5" s="175"/>
      <c r="F5" s="175"/>
    </row>
    <row r="6" spans="1:6" ht="15.75" x14ac:dyDescent="0.25">
      <c r="A6" s="174" t="s">
        <v>447</v>
      </c>
      <c r="B6" s="174" t="s">
        <v>448</v>
      </c>
      <c r="C6" s="175"/>
      <c r="D6" s="175"/>
      <c r="E6" s="175"/>
      <c r="F6" s="175"/>
    </row>
    <row r="7" spans="1:6" ht="15.75" x14ac:dyDescent="0.25">
      <c r="A7" s="174" t="s">
        <v>449</v>
      </c>
      <c r="B7" s="174" t="s">
        <v>450</v>
      </c>
      <c r="C7" s="175"/>
      <c r="D7" s="175"/>
      <c r="E7" s="175"/>
      <c r="F7" s="175"/>
    </row>
    <row r="8" spans="1:6" ht="15.75" x14ac:dyDescent="0.25">
      <c r="A8" s="178" t="s">
        <v>566</v>
      </c>
      <c r="B8" s="174" t="s">
        <v>451</v>
      </c>
      <c r="C8" s="175"/>
      <c r="D8" s="175"/>
      <c r="E8" s="175"/>
      <c r="F8" s="175"/>
    </row>
    <row r="9" spans="1:6" ht="15.75" x14ac:dyDescent="0.25">
      <c r="A9" s="174" t="s">
        <v>452</v>
      </c>
      <c r="B9" s="174" t="s">
        <v>453</v>
      </c>
      <c r="C9" s="175"/>
      <c r="D9" s="175"/>
      <c r="E9" s="175"/>
      <c r="F9" s="175"/>
    </row>
    <row r="10" spans="1:6" ht="15.75" x14ac:dyDescent="0.25">
      <c r="A10" s="174" t="s">
        <v>454</v>
      </c>
      <c r="B10" s="174" t="s">
        <v>455</v>
      </c>
      <c r="C10" s="175"/>
      <c r="D10" s="175"/>
      <c r="E10" s="175"/>
      <c r="F10" s="175"/>
    </row>
    <row r="11" spans="1:6" ht="15.75" x14ac:dyDescent="0.25">
      <c r="A11" s="174" t="s">
        <v>456</v>
      </c>
      <c r="B11" s="174" t="s">
        <v>457</v>
      </c>
      <c r="C11" s="175"/>
      <c r="D11" s="175"/>
      <c r="E11" s="175"/>
      <c r="F11" s="175"/>
    </row>
    <row r="12" spans="1:6" ht="15.75" x14ac:dyDescent="0.25">
      <c r="A12" s="179" t="s">
        <v>458</v>
      </c>
      <c r="B12" s="174" t="s">
        <v>459</v>
      </c>
      <c r="C12" s="175"/>
      <c r="D12" s="175"/>
      <c r="E12" s="175"/>
      <c r="F12" s="175"/>
    </row>
    <row r="13" spans="1:6" ht="15.75" x14ac:dyDescent="0.25">
      <c r="A13" s="174" t="s">
        <v>460</v>
      </c>
      <c r="B13" s="174" t="s">
        <v>461</v>
      </c>
      <c r="C13" s="175"/>
      <c r="D13" s="175"/>
      <c r="E13" s="175"/>
      <c r="F13" s="175"/>
    </row>
    <row r="14" spans="1:6" ht="15.75" x14ac:dyDescent="0.25">
      <c r="A14" s="174" t="s">
        <v>462</v>
      </c>
      <c r="B14" s="174" t="s">
        <v>463</v>
      </c>
      <c r="C14" s="175"/>
      <c r="D14" s="175"/>
      <c r="E14" s="175"/>
      <c r="F14" s="175"/>
    </row>
    <row r="15" spans="1:6" ht="15.75" x14ac:dyDescent="0.25">
      <c r="A15" s="174" t="s">
        <v>464</v>
      </c>
      <c r="B15" s="174" t="s">
        <v>465</v>
      </c>
      <c r="C15" s="175"/>
      <c r="D15" s="175"/>
      <c r="E15" s="175"/>
      <c r="F15" s="175"/>
    </row>
    <row r="16" spans="1:6" ht="15.75" x14ac:dyDescent="0.25">
      <c r="A16" s="174" t="s">
        <v>466</v>
      </c>
      <c r="B16" s="174" t="s">
        <v>467</v>
      </c>
      <c r="C16" s="175"/>
      <c r="D16" s="175"/>
      <c r="E16" s="175"/>
      <c r="F16" s="175"/>
    </row>
    <row r="17" spans="1:6" ht="15.75" x14ac:dyDescent="0.25">
      <c r="A17" s="174" t="s">
        <v>468</v>
      </c>
      <c r="B17" s="174" t="s">
        <v>469</v>
      </c>
      <c r="C17" s="175"/>
      <c r="D17" s="175"/>
      <c r="E17" s="175"/>
      <c r="F17" s="175"/>
    </row>
    <row r="18" spans="1:6" ht="15.75" x14ac:dyDescent="0.25">
      <c r="A18" s="174" t="s">
        <v>470</v>
      </c>
      <c r="B18" s="174" t="s">
        <v>471</v>
      </c>
      <c r="C18" s="175"/>
      <c r="D18" s="175"/>
      <c r="E18" s="175"/>
      <c r="F18" s="175"/>
    </row>
    <row r="19" spans="1:6" ht="15.75" x14ac:dyDescent="0.25">
      <c r="A19" s="174" t="s">
        <v>472</v>
      </c>
      <c r="B19" s="174" t="s">
        <v>473</v>
      </c>
      <c r="C19" s="175"/>
      <c r="D19" s="175"/>
      <c r="E19" s="175"/>
      <c r="F19" s="175"/>
    </row>
    <row r="20" spans="1:6" ht="15.75" x14ac:dyDescent="0.25">
      <c r="A20" s="174" t="s">
        <v>474</v>
      </c>
      <c r="B20" s="174" t="s">
        <v>475</v>
      </c>
      <c r="C20" s="175"/>
      <c r="D20" s="175"/>
      <c r="E20" s="175"/>
      <c r="F20" s="175"/>
    </row>
    <row r="21" spans="1:6" ht="15.75" x14ac:dyDescent="0.25">
      <c r="A21" s="174" t="s">
        <v>476</v>
      </c>
      <c r="B21" s="174" t="s">
        <v>477</v>
      </c>
      <c r="C21" s="175"/>
      <c r="D21" s="175"/>
      <c r="E21" s="175"/>
      <c r="F21" s="175"/>
    </row>
    <row r="22" spans="1:6" ht="15.75" x14ac:dyDescent="0.25">
      <c r="A22" s="174" t="s">
        <v>478</v>
      </c>
      <c r="B22" s="174" t="s">
        <v>479</v>
      </c>
      <c r="C22" s="175"/>
      <c r="D22" s="175"/>
      <c r="E22" s="175"/>
      <c r="F22" s="175"/>
    </row>
    <row r="23" spans="1:6" ht="15.75" x14ac:dyDescent="0.25">
      <c r="A23" s="174" t="s">
        <v>480</v>
      </c>
      <c r="B23" s="174" t="s">
        <v>481</v>
      </c>
      <c r="C23" s="175"/>
      <c r="D23" s="175"/>
      <c r="E23" s="175"/>
      <c r="F23" s="175"/>
    </row>
    <row r="24" spans="1:6" ht="15.75" x14ac:dyDescent="0.25">
      <c r="A24" s="179" t="s">
        <v>482</v>
      </c>
      <c r="B24" s="174" t="s">
        <v>483</v>
      </c>
      <c r="C24" s="175"/>
      <c r="D24" s="175"/>
      <c r="E24" s="175"/>
      <c r="F24" s="175"/>
    </row>
    <row r="25" spans="1:6" ht="15.75" x14ac:dyDescent="0.25">
      <c r="A25" s="174" t="s">
        <v>484</v>
      </c>
      <c r="B25" s="174" t="s">
        <v>485</v>
      </c>
      <c r="C25" s="175"/>
      <c r="D25" s="175"/>
      <c r="E25" s="175"/>
      <c r="F25" s="175"/>
    </row>
    <row r="26" spans="1:6" ht="15.75" x14ac:dyDescent="0.25">
      <c r="A26" s="174" t="s">
        <v>486</v>
      </c>
      <c r="B26" s="174" t="s">
        <v>487</v>
      </c>
      <c r="C26" s="175"/>
      <c r="D26" s="175"/>
      <c r="E26" s="175"/>
      <c r="F26" s="175"/>
    </row>
    <row r="27" spans="1:6" ht="15.75" x14ac:dyDescent="0.25">
      <c r="A27" s="174" t="s">
        <v>488</v>
      </c>
      <c r="B27" s="174" t="s">
        <v>489</v>
      </c>
      <c r="C27" s="175"/>
      <c r="D27" s="175"/>
      <c r="E27" s="175"/>
      <c r="F27" s="175"/>
    </row>
    <row r="28" spans="1:6" ht="15.75" x14ac:dyDescent="0.25">
      <c r="A28" s="174" t="s">
        <v>490</v>
      </c>
      <c r="B28" s="174" t="s">
        <v>491</v>
      </c>
      <c r="C28" s="175"/>
      <c r="D28" s="175"/>
      <c r="E28" s="175"/>
      <c r="F28" s="175"/>
    </row>
    <row r="29" spans="1:6" ht="15.75" x14ac:dyDescent="0.25">
      <c r="A29" s="174" t="s">
        <v>492</v>
      </c>
      <c r="B29" s="174" t="s">
        <v>493</v>
      </c>
      <c r="C29" s="175"/>
      <c r="D29" s="175"/>
      <c r="E29" s="175"/>
      <c r="F29" s="175"/>
    </row>
    <row r="30" spans="1:6" ht="15.75" x14ac:dyDescent="0.25">
      <c r="A30" s="174" t="s">
        <v>494</v>
      </c>
      <c r="B30" s="174" t="s">
        <v>495</v>
      </c>
      <c r="C30" s="175"/>
      <c r="D30" s="175"/>
      <c r="E30" s="175"/>
      <c r="F30" s="175"/>
    </row>
    <row r="31" spans="1:6" ht="15.75" x14ac:dyDescent="0.25">
      <c r="A31" s="174" t="s">
        <v>496</v>
      </c>
      <c r="B31" s="174" t="s">
        <v>497</v>
      </c>
      <c r="C31" s="175"/>
      <c r="D31" s="175"/>
      <c r="E31" s="175"/>
      <c r="F31" s="175"/>
    </row>
    <row r="32" spans="1:6" ht="15.75" x14ac:dyDescent="0.25">
      <c r="A32" s="174" t="s">
        <v>498</v>
      </c>
      <c r="B32" s="174" t="s">
        <v>499</v>
      </c>
      <c r="C32" s="175"/>
      <c r="D32" s="175"/>
      <c r="E32" s="175"/>
      <c r="F32" s="175"/>
    </row>
    <row r="33" spans="1:6" ht="15.75" x14ac:dyDescent="0.25">
      <c r="A33" s="179" t="s">
        <v>500</v>
      </c>
      <c r="B33" s="174" t="s">
        <v>501</v>
      </c>
      <c r="C33" s="175"/>
      <c r="D33" s="175"/>
      <c r="E33" s="175"/>
      <c r="F33" s="175"/>
    </row>
    <row r="34" spans="1:6" ht="15.75" x14ac:dyDescent="0.25">
      <c r="A34" s="174" t="s">
        <v>502</v>
      </c>
      <c r="B34" s="174" t="s">
        <v>503</v>
      </c>
      <c r="C34" s="175"/>
      <c r="D34" s="175"/>
      <c r="E34" s="175"/>
      <c r="F34" s="175"/>
    </row>
    <row r="35" spans="1:6" ht="15.75" x14ac:dyDescent="0.25">
      <c r="A35" s="174" t="s">
        <v>504</v>
      </c>
      <c r="B35" s="174" t="s">
        <v>505</v>
      </c>
      <c r="C35" s="175"/>
      <c r="D35" s="175"/>
      <c r="E35" s="175"/>
      <c r="F35" s="175"/>
    </row>
    <row r="36" spans="1:6" ht="15.75" x14ac:dyDescent="0.25">
      <c r="A36" s="174" t="s">
        <v>506</v>
      </c>
      <c r="B36" s="174" t="s">
        <v>507</v>
      </c>
      <c r="C36" s="175"/>
      <c r="D36" s="175"/>
      <c r="E36" s="175"/>
      <c r="F36" s="175"/>
    </row>
    <row r="37" spans="1:6" ht="15.75" x14ac:dyDescent="0.25">
      <c r="A37" s="174" t="s">
        <v>508</v>
      </c>
      <c r="B37" s="174" t="s">
        <v>509</v>
      </c>
      <c r="C37" s="175"/>
      <c r="D37" s="175"/>
      <c r="E37" s="175"/>
      <c r="F37" s="175"/>
    </row>
    <row r="38" spans="1:6" ht="15.75" x14ac:dyDescent="0.25">
      <c r="A38" s="174" t="s">
        <v>510</v>
      </c>
      <c r="B38" s="174" t="s">
        <v>511</v>
      </c>
      <c r="C38" s="175"/>
      <c r="D38" s="175"/>
      <c r="E38" s="175"/>
      <c r="F38" s="175"/>
    </row>
    <row r="39" spans="1:6" ht="15.75" x14ac:dyDescent="0.25">
      <c r="A39" s="174" t="s">
        <v>512</v>
      </c>
      <c r="B39" s="174" t="s">
        <v>513</v>
      </c>
      <c r="C39" s="175"/>
      <c r="D39" s="175"/>
      <c r="E39" s="175"/>
      <c r="F39" s="175"/>
    </row>
    <row r="40" spans="1:6" ht="15.75" x14ac:dyDescent="0.25">
      <c r="A40" s="179" t="s">
        <v>514</v>
      </c>
      <c r="B40" s="174" t="s">
        <v>515</v>
      </c>
      <c r="C40" s="175"/>
      <c r="D40" s="175"/>
      <c r="E40" s="175"/>
      <c r="F40" s="175"/>
    </row>
    <row r="41" spans="1:6" ht="15.75" x14ac:dyDescent="0.25">
      <c r="A41" s="174" t="s">
        <v>516</v>
      </c>
      <c r="B41" s="174" t="s">
        <v>517</v>
      </c>
      <c r="C41" s="175"/>
      <c r="D41" s="175"/>
      <c r="E41" s="175"/>
      <c r="F41" s="175"/>
    </row>
    <row r="42" spans="1:6" ht="15.75" x14ac:dyDescent="0.25">
      <c r="A42" s="174" t="s">
        <v>518</v>
      </c>
      <c r="B42" s="174" t="s">
        <v>519</v>
      </c>
      <c r="C42" s="175"/>
      <c r="D42" s="175"/>
      <c r="E42" s="175"/>
      <c r="F42" s="175"/>
    </row>
    <row r="43" spans="1:6" ht="15.75" x14ac:dyDescent="0.25">
      <c r="A43" s="174" t="s">
        <v>520</v>
      </c>
      <c r="B43" s="174" t="s">
        <v>521</v>
      </c>
      <c r="C43" s="175"/>
      <c r="D43" s="175"/>
      <c r="E43" s="175"/>
      <c r="F43" s="175"/>
    </row>
    <row r="44" spans="1:6" ht="15.75" x14ac:dyDescent="0.25">
      <c r="A44" s="174" t="s">
        <v>522</v>
      </c>
      <c r="B44" s="174" t="s">
        <v>523</v>
      </c>
      <c r="C44" s="175"/>
      <c r="D44" s="175"/>
      <c r="E44" s="175"/>
      <c r="F44" s="175"/>
    </row>
    <row r="45" spans="1:6" ht="15.75" x14ac:dyDescent="0.25">
      <c r="A45" s="179" t="s">
        <v>524</v>
      </c>
      <c r="B45" s="174" t="s">
        <v>525</v>
      </c>
      <c r="C45" s="175"/>
      <c r="D45" s="175"/>
      <c r="E45" s="175"/>
      <c r="F45" s="175"/>
    </row>
    <row r="46" spans="1:6" ht="15.75" x14ac:dyDescent="0.25">
      <c r="A46" s="174" t="s">
        <v>526</v>
      </c>
      <c r="B46" s="174" t="s">
        <v>527</v>
      </c>
      <c r="C46" s="175"/>
      <c r="D46" s="175"/>
      <c r="E46" s="175"/>
      <c r="F46" s="175"/>
    </row>
    <row r="47" spans="1:6" ht="15.75" x14ac:dyDescent="0.25">
      <c r="A47" s="174" t="s">
        <v>518</v>
      </c>
      <c r="B47" s="174" t="s">
        <v>528</v>
      </c>
      <c r="C47" s="175"/>
      <c r="D47" s="175"/>
      <c r="E47" s="175"/>
      <c r="F47" s="175"/>
    </row>
    <row r="48" spans="1:6" ht="15.75" x14ac:dyDescent="0.25">
      <c r="A48" s="174" t="s">
        <v>529</v>
      </c>
      <c r="B48" s="174" t="s">
        <v>530</v>
      </c>
      <c r="C48" s="175"/>
      <c r="D48" s="175"/>
      <c r="E48" s="175"/>
      <c r="F48" s="175"/>
    </row>
    <row r="49" spans="1:6" ht="15.75" x14ac:dyDescent="0.25">
      <c r="A49" s="174" t="s">
        <v>531</v>
      </c>
      <c r="B49" s="174" t="s">
        <v>532</v>
      </c>
      <c r="C49" s="175"/>
      <c r="D49" s="175"/>
      <c r="E49" s="175"/>
      <c r="F49" s="175"/>
    </row>
    <row r="50" spans="1:6" ht="15.75" x14ac:dyDescent="0.25">
      <c r="A50" s="174" t="s">
        <v>533</v>
      </c>
      <c r="B50" s="174" t="s">
        <v>534</v>
      </c>
      <c r="C50" s="175"/>
      <c r="D50" s="175"/>
      <c r="E50" s="175"/>
      <c r="F50" s="175"/>
    </row>
    <row r="51" spans="1:6" ht="15.75" x14ac:dyDescent="0.25">
      <c r="A51" s="174" t="s">
        <v>520</v>
      </c>
      <c r="B51" s="174" t="s">
        <v>535</v>
      </c>
      <c r="C51" s="175"/>
      <c r="D51" s="175"/>
      <c r="E51" s="175"/>
      <c r="F51" s="175"/>
    </row>
    <row r="52" spans="1:6" ht="15.75" x14ac:dyDescent="0.25">
      <c r="A52" s="174" t="s">
        <v>536</v>
      </c>
      <c r="B52" s="174" t="s">
        <v>537</v>
      </c>
      <c r="C52" s="175"/>
      <c r="D52" s="175"/>
      <c r="E52" s="175"/>
      <c r="F52" s="175"/>
    </row>
    <row r="53" spans="1:6" ht="15.75" x14ac:dyDescent="0.25">
      <c r="A53" s="174" t="s">
        <v>522</v>
      </c>
      <c r="B53" s="174" t="s">
        <v>538</v>
      </c>
      <c r="C53" s="175"/>
      <c r="D53" s="175"/>
      <c r="E53" s="175"/>
      <c r="F53" s="175"/>
    </row>
    <row r="54" spans="1:6" ht="15.75" x14ac:dyDescent="0.25">
      <c r="A54" s="179" t="s">
        <v>539</v>
      </c>
      <c r="B54" s="174" t="s">
        <v>540</v>
      </c>
      <c r="C54" s="175"/>
      <c r="D54" s="175"/>
      <c r="E54" s="175"/>
      <c r="F54" s="175"/>
    </row>
    <row r="55" spans="1:6" ht="15.75" x14ac:dyDescent="0.25">
      <c r="A55" s="174" t="s">
        <v>541</v>
      </c>
      <c r="B55" s="174" t="s">
        <v>542</v>
      </c>
      <c r="C55" s="175"/>
      <c r="D55" s="175"/>
      <c r="E55" s="175"/>
      <c r="F55" s="175"/>
    </row>
    <row r="56" spans="1:6" ht="15.75" x14ac:dyDescent="0.25">
      <c r="A56" s="174" t="s">
        <v>543</v>
      </c>
      <c r="B56" s="174" t="s">
        <v>544</v>
      </c>
      <c r="C56" s="175"/>
      <c r="D56" s="175"/>
      <c r="E56" s="175"/>
      <c r="F56" s="175"/>
    </row>
    <row r="57" spans="1:6" ht="15.75" x14ac:dyDescent="0.25">
      <c r="A57" s="174" t="s">
        <v>545</v>
      </c>
      <c r="B57" s="174" t="s">
        <v>546</v>
      </c>
      <c r="C57" s="175"/>
      <c r="D57" s="175"/>
      <c r="E57" s="175"/>
      <c r="F57" s="175"/>
    </row>
    <row r="58" spans="1:6" ht="15.75" x14ac:dyDescent="0.25">
      <c r="A58" s="174" t="s">
        <v>547</v>
      </c>
      <c r="B58" s="174" t="s">
        <v>548</v>
      </c>
      <c r="C58" s="175"/>
      <c r="D58" s="175"/>
      <c r="E58" s="175"/>
      <c r="F58" s="175"/>
    </row>
    <row r="59" spans="1:6" ht="15.75" x14ac:dyDescent="0.25">
      <c r="A59" s="174" t="s">
        <v>549</v>
      </c>
      <c r="B59" s="174" t="s">
        <v>550</v>
      </c>
      <c r="C59" s="175"/>
      <c r="D59" s="175"/>
      <c r="E59" s="175"/>
      <c r="F59" s="175"/>
    </row>
    <row r="60" spans="1:6" ht="15.75" x14ac:dyDescent="0.25">
      <c r="A60" s="174" t="s">
        <v>551</v>
      </c>
      <c r="B60" s="174" t="s">
        <v>552</v>
      </c>
      <c r="C60" s="175"/>
      <c r="D60" s="175"/>
      <c r="E60" s="175"/>
      <c r="F60" s="175"/>
    </row>
    <row r="61" spans="1:6" ht="15.75" x14ac:dyDescent="0.25">
      <c r="A61" s="179" t="s">
        <v>553</v>
      </c>
      <c r="B61" s="174" t="s">
        <v>554</v>
      </c>
      <c r="C61" s="175"/>
      <c r="D61" s="175"/>
      <c r="E61" s="175"/>
      <c r="F61" s="175"/>
    </row>
    <row r="62" spans="1:6" ht="15.75" x14ac:dyDescent="0.25">
      <c r="A62" s="174" t="s">
        <v>555</v>
      </c>
      <c r="B62" s="174" t="s">
        <v>556</v>
      </c>
      <c r="C62" s="175"/>
      <c r="D62" s="175"/>
      <c r="E62" s="175"/>
      <c r="F62" s="175"/>
    </row>
    <row r="63" spans="1:6" ht="15.75" x14ac:dyDescent="0.25">
      <c r="A63" s="174" t="s">
        <v>557</v>
      </c>
      <c r="B63" s="174" t="s">
        <v>558</v>
      </c>
      <c r="C63" s="175"/>
      <c r="D63" s="175"/>
      <c r="E63" s="175"/>
      <c r="F63" s="175"/>
    </row>
    <row r="64" spans="1:6" ht="15.75" x14ac:dyDescent="0.25">
      <c r="A64" s="176" t="s">
        <v>559</v>
      </c>
      <c r="B64" s="177"/>
      <c r="C64" s="175"/>
      <c r="D64" s="175"/>
      <c r="E64" s="175"/>
      <c r="F64" s="175"/>
    </row>
    <row r="65" spans="1:6" ht="15.75" x14ac:dyDescent="0.25">
      <c r="A65" s="90"/>
      <c r="B65" s="90"/>
      <c r="C65" s="90"/>
      <c r="D65" s="90"/>
      <c r="E65" s="90"/>
      <c r="F65" s="90"/>
    </row>
    <row r="66" spans="1:6" ht="15.75" x14ac:dyDescent="0.25">
      <c r="A66" s="90"/>
      <c r="B66" s="90"/>
      <c r="C66" s="90"/>
      <c r="D66" s="90"/>
      <c r="E66" s="90"/>
      <c r="F66" s="90"/>
    </row>
    <row r="67" spans="1:6" ht="15.75" x14ac:dyDescent="0.25">
      <c r="A67" s="90"/>
      <c r="B67" s="90"/>
      <c r="C67" s="90"/>
      <c r="D67" s="90"/>
      <c r="E67" s="90"/>
      <c r="F67" s="90"/>
    </row>
  </sheetData>
  <mergeCells count="2">
    <mergeCell ref="A2:F2"/>
    <mergeCell ref="A1:F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enableFormatConditionsCalculation="0">
    <tabColor indexed="51"/>
  </sheetPr>
  <dimension ref="A1:H62"/>
  <sheetViews>
    <sheetView zoomScaleNormal="100" workbookViewId="0">
      <pane xSplit="1" ySplit="2" topLeftCell="B30" activePane="bottomRight" state="frozen"/>
      <selection pane="topRight" activeCell="B1" sqref="B1"/>
      <selection pane="bottomLeft" activeCell="A3" sqref="A3"/>
      <selection pane="bottomRight" activeCell="A2" sqref="A2"/>
    </sheetView>
  </sheetViews>
  <sheetFormatPr defaultColWidth="9.140625" defaultRowHeight="15.75" x14ac:dyDescent="0.2"/>
  <cols>
    <col min="1" max="1" width="9.42578125" style="108" customWidth="1"/>
    <col min="2" max="2" width="33.42578125" style="111" customWidth="1"/>
    <col min="3" max="3" width="163.140625" style="109" customWidth="1"/>
    <col min="4" max="4" width="11.42578125" style="108" customWidth="1"/>
    <col min="5" max="5" width="13.5703125" style="108" customWidth="1"/>
    <col min="6" max="16384" width="9.140625" style="108"/>
  </cols>
  <sheetData>
    <row r="1" spans="1:4" ht="42" customHeight="1" thickBot="1" x14ac:dyDescent="0.25">
      <c r="A1" s="914" t="s">
        <v>1326</v>
      </c>
      <c r="B1" s="916"/>
      <c r="C1" s="915"/>
    </row>
    <row r="2" spans="1:4" s="123" customFormat="1" ht="48" customHeight="1" x14ac:dyDescent="0.2">
      <c r="A2" s="122" t="s">
        <v>248</v>
      </c>
      <c r="B2" s="619" t="s">
        <v>54</v>
      </c>
      <c r="C2" s="244" t="s">
        <v>55</v>
      </c>
    </row>
    <row r="3" spans="1:4" ht="38.25" customHeight="1" x14ac:dyDescent="0.2">
      <c r="A3" s="159" t="s">
        <v>247</v>
      </c>
      <c r="B3" s="620" t="s">
        <v>1403</v>
      </c>
      <c r="C3" s="246" t="s">
        <v>1430</v>
      </c>
    </row>
    <row r="4" spans="1:4" ht="68.25" customHeight="1" x14ac:dyDescent="0.2">
      <c r="A4" s="159" t="s">
        <v>56</v>
      </c>
      <c r="B4" s="621" t="s">
        <v>1013</v>
      </c>
      <c r="C4" s="246" t="s">
        <v>1404</v>
      </c>
    </row>
    <row r="5" spans="1:4" s="118" customFormat="1" ht="106.5" customHeight="1" x14ac:dyDescent="0.2">
      <c r="A5" s="159" t="s">
        <v>241</v>
      </c>
      <c r="B5" s="620" t="s">
        <v>898</v>
      </c>
      <c r="C5" s="246" t="s">
        <v>945</v>
      </c>
    </row>
    <row r="6" spans="1:4" s="118" customFormat="1" ht="46.5" customHeight="1" x14ac:dyDescent="0.2">
      <c r="A6" s="159" t="s">
        <v>77</v>
      </c>
      <c r="B6" s="620" t="s">
        <v>904</v>
      </c>
      <c r="C6" s="624" t="s">
        <v>946</v>
      </c>
    </row>
    <row r="7" spans="1:4" ht="71.25" customHeight="1" x14ac:dyDescent="0.2">
      <c r="A7" s="159" t="s">
        <v>30</v>
      </c>
      <c r="B7" s="621" t="s">
        <v>1327</v>
      </c>
      <c r="C7" s="246" t="s">
        <v>1328</v>
      </c>
    </row>
    <row r="8" spans="1:4" ht="42" customHeight="1" x14ac:dyDescent="0.2">
      <c r="A8" s="618" t="s">
        <v>1431</v>
      </c>
      <c r="B8" s="621"/>
      <c r="C8" s="625" t="s">
        <v>1468</v>
      </c>
    </row>
    <row r="9" spans="1:4" ht="105.75" customHeight="1" x14ac:dyDescent="0.2">
      <c r="A9" s="159" t="s">
        <v>326</v>
      </c>
      <c r="B9" s="621" t="s">
        <v>1329</v>
      </c>
      <c r="C9" s="304" t="s">
        <v>1330</v>
      </c>
    </row>
    <row r="10" spans="1:4" ht="106.5" customHeight="1" x14ac:dyDescent="0.2">
      <c r="A10" s="159" t="s">
        <v>22</v>
      </c>
      <c r="B10" s="620" t="s">
        <v>18</v>
      </c>
      <c r="C10" s="246" t="s">
        <v>1331</v>
      </c>
    </row>
    <row r="11" spans="1:4" ht="33.75" customHeight="1" x14ac:dyDescent="0.2">
      <c r="A11" s="159" t="s">
        <v>239</v>
      </c>
      <c r="B11" s="620" t="s">
        <v>265</v>
      </c>
      <c r="C11" s="246" t="s">
        <v>266</v>
      </c>
    </row>
    <row r="12" spans="1:4" ht="42" customHeight="1" x14ac:dyDescent="0.2">
      <c r="A12" s="159" t="s">
        <v>1028</v>
      </c>
      <c r="B12" s="620" t="s">
        <v>1026</v>
      </c>
      <c r="C12" s="246" t="s">
        <v>1027</v>
      </c>
    </row>
    <row r="13" spans="1:4" ht="42" customHeight="1" x14ac:dyDescent="0.2">
      <c r="A13" s="618" t="s">
        <v>1466</v>
      </c>
      <c r="B13" s="620"/>
      <c r="C13" s="625" t="s">
        <v>1467</v>
      </c>
    </row>
    <row r="14" spans="1:4" ht="75" customHeight="1" x14ac:dyDescent="0.2">
      <c r="A14" s="159" t="s">
        <v>177</v>
      </c>
      <c r="B14" s="620" t="s">
        <v>1332</v>
      </c>
      <c r="C14" s="246" t="s">
        <v>1371</v>
      </c>
      <c r="D14" s="342"/>
    </row>
    <row r="15" spans="1:4" ht="63" x14ac:dyDescent="0.2">
      <c r="A15" s="159" t="s">
        <v>23</v>
      </c>
      <c r="B15" s="621" t="s">
        <v>1333</v>
      </c>
      <c r="C15" s="246" t="s">
        <v>1334</v>
      </c>
      <c r="D15" s="342"/>
    </row>
    <row r="16" spans="1:4" ht="77.25" customHeight="1" x14ac:dyDescent="0.2">
      <c r="A16" s="159" t="s">
        <v>195</v>
      </c>
      <c r="B16" s="620" t="s">
        <v>1335</v>
      </c>
      <c r="C16" s="246" t="s">
        <v>1336</v>
      </c>
    </row>
    <row r="17" spans="1:8" ht="99.75" customHeight="1" x14ac:dyDescent="0.2">
      <c r="A17" s="159" t="s">
        <v>282</v>
      </c>
      <c r="B17" s="620" t="s">
        <v>1337</v>
      </c>
      <c r="C17" s="246" t="s">
        <v>1339</v>
      </c>
    </row>
    <row r="18" spans="1:8" ht="41.25" customHeight="1" x14ac:dyDescent="0.2">
      <c r="A18" s="159" t="s">
        <v>24</v>
      </c>
      <c r="B18" s="620" t="s">
        <v>1340</v>
      </c>
      <c r="C18" s="246" t="s">
        <v>1432</v>
      </c>
    </row>
    <row r="19" spans="1:8" ht="72.75" customHeight="1" x14ac:dyDescent="0.2">
      <c r="A19" s="159" t="s">
        <v>268</v>
      </c>
      <c r="B19" s="620" t="s">
        <v>1341</v>
      </c>
      <c r="C19" s="626"/>
    </row>
    <row r="20" spans="1:8" ht="54" customHeight="1" x14ac:dyDescent="0.2">
      <c r="A20" s="159" t="s">
        <v>325</v>
      </c>
      <c r="B20" s="620" t="s">
        <v>1338</v>
      </c>
      <c r="C20" s="246" t="s">
        <v>1342</v>
      </c>
    </row>
    <row r="21" spans="1:8" ht="40.5" customHeight="1" x14ac:dyDescent="0.2">
      <c r="A21" s="159" t="s">
        <v>220</v>
      </c>
      <c r="B21" s="620" t="s">
        <v>164</v>
      </c>
      <c r="C21" s="246" t="s">
        <v>1012</v>
      </c>
    </row>
    <row r="22" spans="1:8" ht="42.75" customHeight="1" x14ac:dyDescent="0.2">
      <c r="A22" s="159" t="s">
        <v>399</v>
      </c>
      <c r="B22" s="620" t="s">
        <v>1343</v>
      </c>
      <c r="C22" s="246" t="s">
        <v>1433</v>
      </c>
    </row>
    <row r="23" spans="1:8" ht="41.25" customHeight="1" x14ac:dyDescent="0.2">
      <c r="A23" s="159" t="s">
        <v>25</v>
      </c>
      <c r="B23" s="620" t="s">
        <v>1402</v>
      </c>
      <c r="C23" s="246" t="s">
        <v>1344</v>
      </c>
    </row>
    <row r="24" spans="1:8" ht="57" customHeight="1" x14ac:dyDescent="0.2">
      <c r="A24" s="159" t="s">
        <v>911</v>
      </c>
      <c r="B24" s="620" t="s">
        <v>905</v>
      </c>
      <c r="C24" s="304" t="s">
        <v>947</v>
      </c>
    </row>
    <row r="25" spans="1:8" ht="51.75" customHeight="1" x14ac:dyDescent="0.2">
      <c r="A25" s="159" t="s">
        <v>912</v>
      </c>
      <c r="B25" s="620" t="s">
        <v>1372</v>
      </c>
      <c r="C25" s="304" t="s">
        <v>906</v>
      </c>
    </row>
    <row r="26" spans="1:8" ht="23.25" customHeight="1" x14ac:dyDescent="0.2">
      <c r="A26" s="159" t="s">
        <v>913</v>
      </c>
      <c r="B26" s="620" t="s">
        <v>907</v>
      </c>
      <c r="C26" s="304" t="s">
        <v>908</v>
      </c>
    </row>
    <row r="27" spans="1:8" ht="31.5" x14ac:dyDescent="0.2">
      <c r="A27" s="159" t="s">
        <v>914</v>
      </c>
      <c r="B27" s="620" t="s">
        <v>909</v>
      </c>
      <c r="C27" s="304" t="s">
        <v>910</v>
      </c>
      <c r="D27" s="300"/>
    </row>
    <row r="28" spans="1:8" ht="72.75" customHeight="1" x14ac:dyDescent="0.2">
      <c r="A28" s="159" t="s">
        <v>26</v>
      </c>
      <c r="B28" s="621" t="s">
        <v>1345</v>
      </c>
      <c r="C28" s="304" t="s">
        <v>1346</v>
      </c>
      <c r="D28" s="300"/>
    </row>
    <row r="29" spans="1:8" ht="102.75" customHeight="1" x14ac:dyDescent="0.2">
      <c r="A29" s="159" t="s">
        <v>375</v>
      </c>
      <c r="B29" s="620" t="s">
        <v>1011</v>
      </c>
      <c r="C29" s="246" t="s">
        <v>48</v>
      </c>
    </row>
    <row r="30" spans="1:8" ht="51.75" customHeight="1" x14ac:dyDescent="0.2">
      <c r="A30" s="159" t="s">
        <v>357</v>
      </c>
      <c r="B30" s="621" t="s">
        <v>1406</v>
      </c>
      <c r="C30" s="304" t="s">
        <v>1405</v>
      </c>
    </row>
    <row r="31" spans="1:8" ht="25.5" customHeight="1" x14ac:dyDescent="0.2">
      <c r="A31" s="159" t="s">
        <v>49</v>
      </c>
      <c r="B31" s="621" t="s">
        <v>1347</v>
      </c>
      <c r="C31" s="304" t="s">
        <v>1348</v>
      </c>
      <c r="H31" s="108" t="s">
        <v>179</v>
      </c>
    </row>
    <row r="32" spans="1:8" ht="144" customHeight="1" x14ac:dyDescent="0.2">
      <c r="A32" s="159" t="s">
        <v>51</v>
      </c>
      <c r="B32" s="620" t="s">
        <v>869</v>
      </c>
      <c r="C32" s="246" t="s">
        <v>1349</v>
      </c>
    </row>
    <row r="33" spans="1:4" ht="28.5" customHeight="1" x14ac:dyDescent="0.2">
      <c r="A33" s="159" t="s">
        <v>50</v>
      </c>
      <c r="B33" s="621" t="s">
        <v>952</v>
      </c>
      <c r="C33" s="246" t="s">
        <v>1350</v>
      </c>
    </row>
    <row r="34" spans="1:4" ht="39.75" customHeight="1" x14ac:dyDescent="0.2">
      <c r="A34" s="159" t="s">
        <v>52</v>
      </c>
      <c r="B34" s="620" t="s">
        <v>57</v>
      </c>
      <c r="C34" s="246" t="s">
        <v>298</v>
      </c>
    </row>
    <row r="35" spans="1:4" ht="39.75" customHeight="1" x14ac:dyDescent="0.2">
      <c r="A35" s="159" t="s">
        <v>1029</v>
      </c>
      <c r="B35" s="620" t="s">
        <v>1030</v>
      </c>
      <c r="C35" s="246" t="s">
        <v>1027</v>
      </c>
    </row>
    <row r="36" spans="1:4" ht="57" customHeight="1" x14ac:dyDescent="0.2">
      <c r="A36" s="159" t="s">
        <v>178</v>
      </c>
      <c r="B36" s="620" t="s">
        <v>1400</v>
      </c>
      <c r="C36" s="624" t="s">
        <v>1401</v>
      </c>
    </row>
    <row r="37" spans="1:4" ht="51" customHeight="1" x14ac:dyDescent="0.2">
      <c r="A37" s="159" t="s">
        <v>180</v>
      </c>
      <c r="B37" s="620"/>
      <c r="C37" s="246" t="s">
        <v>1351</v>
      </c>
      <c r="D37" s="300"/>
    </row>
    <row r="38" spans="1:4" ht="86.25" customHeight="1" x14ac:dyDescent="0.2">
      <c r="A38" s="159" t="s">
        <v>299</v>
      </c>
      <c r="B38" s="622"/>
      <c r="C38" s="624" t="s">
        <v>1259</v>
      </c>
    </row>
    <row r="39" spans="1:4" ht="64.5" customHeight="1" x14ac:dyDescent="0.2">
      <c r="A39" s="159" t="s">
        <v>283</v>
      </c>
      <c r="B39" s="620" t="s">
        <v>915</v>
      </c>
      <c r="C39" s="624" t="s">
        <v>1014</v>
      </c>
    </row>
    <row r="40" spans="1:4" ht="75" customHeight="1" x14ac:dyDescent="0.2">
      <c r="A40" s="608" t="s">
        <v>40</v>
      </c>
      <c r="B40" s="620" t="s">
        <v>1063</v>
      </c>
      <c r="C40" s="246" t="s">
        <v>1352</v>
      </c>
    </row>
    <row r="41" spans="1:4" ht="123.75" customHeight="1" x14ac:dyDescent="0.2">
      <c r="A41" s="159" t="s">
        <v>312</v>
      </c>
      <c r="B41" s="620" t="s">
        <v>1373</v>
      </c>
      <c r="C41" s="246" t="s">
        <v>1353</v>
      </c>
      <c r="D41" s="300"/>
    </row>
    <row r="42" spans="1:4" ht="38.25" customHeight="1" x14ac:dyDescent="0.2">
      <c r="A42" s="159" t="s">
        <v>312</v>
      </c>
      <c r="B42" s="620" t="s">
        <v>1374</v>
      </c>
      <c r="C42" s="624" t="s">
        <v>1354</v>
      </c>
    </row>
    <row r="43" spans="1:4" ht="39" customHeight="1" thickBot="1" x14ac:dyDescent="0.25">
      <c r="A43" s="159" t="s">
        <v>312</v>
      </c>
      <c r="B43" s="623" t="s">
        <v>899</v>
      </c>
      <c r="C43" s="627" t="s">
        <v>1355</v>
      </c>
    </row>
    <row r="44" spans="1:4" x14ac:dyDescent="0.2">
      <c r="B44" s="110"/>
    </row>
    <row r="45" spans="1:4" x14ac:dyDescent="0.2">
      <c r="B45" s="110"/>
    </row>
    <row r="46" spans="1:4" x14ac:dyDescent="0.2">
      <c r="B46" s="110"/>
    </row>
    <row r="47" spans="1:4" x14ac:dyDescent="0.2">
      <c r="B47" s="110"/>
    </row>
    <row r="48" spans="1:4" x14ac:dyDescent="0.2">
      <c r="B48" s="110"/>
    </row>
    <row r="49" spans="2:2" x14ac:dyDescent="0.2">
      <c r="B49" s="110"/>
    </row>
    <row r="50" spans="2:2" x14ac:dyDescent="0.2">
      <c r="B50" s="110"/>
    </row>
    <row r="51" spans="2:2" x14ac:dyDescent="0.2">
      <c r="B51" s="110"/>
    </row>
    <row r="52" spans="2:2" x14ac:dyDescent="0.2">
      <c r="B52" s="110"/>
    </row>
    <row r="53" spans="2:2" x14ac:dyDescent="0.2">
      <c r="B53" s="110"/>
    </row>
    <row r="54" spans="2:2" x14ac:dyDescent="0.2">
      <c r="B54" s="110"/>
    </row>
    <row r="55" spans="2:2" x14ac:dyDescent="0.2">
      <c r="B55" s="110"/>
    </row>
    <row r="56" spans="2:2" x14ac:dyDescent="0.2">
      <c r="B56" s="110"/>
    </row>
    <row r="57" spans="2:2" x14ac:dyDescent="0.2">
      <c r="B57" s="110"/>
    </row>
    <row r="58" spans="2:2" x14ac:dyDescent="0.2">
      <c r="B58" s="110"/>
    </row>
    <row r="59" spans="2:2" x14ac:dyDescent="0.2">
      <c r="B59" s="110"/>
    </row>
    <row r="60" spans="2:2" x14ac:dyDescent="0.2">
      <c r="B60" s="110"/>
    </row>
    <row r="61" spans="2:2" x14ac:dyDescent="0.2">
      <c r="B61" s="110"/>
    </row>
    <row r="62" spans="2:2" x14ac:dyDescent="0.2">
      <c r="B62" s="110"/>
    </row>
  </sheetData>
  <mergeCells count="1">
    <mergeCell ref="A1:C1"/>
  </mergeCells>
  <phoneticPr fontId="8" type="noConversion"/>
  <printOptions gridLines="1"/>
  <pageMargins left="0.47244094488188981" right="0.19685039370078741" top="0.51181102362204722" bottom="0.43307086614173229" header="0.39370078740157483" footer="0.27559055118110237"/>
  <pageSetup paperSize="9" scale="69"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A2" sqref="A2"/>
    </sheetView>
  </sheetViews>
  <sheetFormatPr defaultRowHeight="12.75" x14ac:dyDescent="0.2"/>
  <cols>
    <col min="2" max="2" width="56.85546875" customWidth="1"/>
    <col min="3" max="3" width="22" customWidth="1"/>
  </cols>
  <sheetData>
    <row r="1" spans="1:4" ht="30.75" customHeight="1" thickBot="1" x14ac:dyDescent="0.25">
      <c r="A1" s="917" t="s">
        <v>1108</v>
      </c>
      <c r="B1" s="918"/>
      <c r="C1" s="919"/>
    </row>
    <row r="2" spans="1:4" ht="29.25" customHeight="1" thickBot="1" x14ac:dyDescent="0.25">
      <c r="A2" s="452" t="s">
        <v>1089</v>
      </c>
      <c r="B2" s="453" t="s">
        <v>1090</v>
      </c>
      <c r="C2" s="454" t="s">
        <v>1091</v>
      </c>
    </row>
    <row r="3" spans="1:4" ht="24" customHeight="1" x14ac:dyDescent="0.2">
      <c r="A3" s="451">
        <v>1</v>
      </c>
      <c r="B3" s="479" t="s">
        <v>1099</v>
      </c>
      <c r="C3" s="456">
        <v>38623</v>
      </c>
    </row>
    <row r="4" spans="1:4" ht="24" customHeight="1" x14ac:dyDescent="0.2">
      <c r="A4" s="449">
        <v>4</v>
      </c>
      <c r="B4" s="478" t="s">
        <v>1098</v>
      </c>
      <c r="C4" s="457">
        <v>39326</v>
      </c>
    </row>
    <row r="5" spans="1:4" ht="24" customHeight="1" x14ac:dyDescent="0.2">
      <c r="A5" s="449">
        <v>5</v>
      </c>
      <c r="B5" s="478" t="s">
        <v>1093</v>
      </c>
      <c r="C5" s="457">
        <v>39326</v>
      </c>
    </row>
    <row r="6" spans="1:4" ht="24" customHeight="1" x14ac:dyDescent="0.2">
      <c r="A6" s="449">
        <v>6</v>
      </c>
      <c r="B6" s="478" t="s">
        <v>1096</v>
      </c>
      <c r="C6" s="457">
        <v>39326</v>
      </c>
    </row>
    <row r="7" spans="1:4" ht="32.25" customHeight="1" x14ac:dyDescent="0.2">
      <c r="A7" s="449">
        <v>7</v>
      </c>
      <c r="B7" s="478" t="s">
        <v>1095</v>
      </c>
      <c r="C7" s="457">
        <v>39326</v>
      </c>
    </row>
    <row r="8" spans="1:4" ht="24" customHeight="1" x14ac:dyDescent="0.2">
      <c r="A8" s="449">
        <v>8</v>
      </c>
      <c r="B8" s="478" t="s">
        <v>1094</v>
      </c>
      <c r="C8" s="457">
        <v>39326</v>
      </c>
    </row>
    <row r="9" spans="1:4" ht="24" customHeight="1" x14ac:dyDescent="0.2">
      <c r="A9" s="449">
        <v>9</v>
      </c>
      <c r="B9" s="448" t="s">
        <v>1101</v>
      </c>
      <c r="C9" s="457">
        <v>39326</v>
      </c>
    </row>
    <row r="10" spans="1:4" ht="24" customHeight="1" x14ac:dyDescent="0.2">
      <c r="A10" s="449">
        <v>10</v>
      </c>
      <c r="B10" s="477" t="s">
        <v>1106</v>
      </c>
      <c r="C10" s="457">
        <v>40245</v>
      </c>
      <c r="D10" s="449" t="s">
        <v>1112</v>
      </c>
    </row>
    <row r="11" spans="1:4" ht="24" customHeight="1" x14ac:dyDescent="0.2">
      <c r="A11" s="449">
        <v>11</v>
      </c>
      <c r="B11" s="477" t="s">
        <v>1105</v>
      </c>
      <c r="C11" s="457">
        <v>40245</v>
      </c>
      <c r="D11" s="449" t="s">
        <v>1112</v>
      </c>
    </row>
    <row r="12" spans="1:4" ht="24" customHeight="1" x14ac:dyDescent="0.2">
      <c r="A12" s="449">
        <v>12</v>
      </c>
      <c r="B12" s="477" t="s">
        <v>1104</v>
      </c>
      <c r="C12" s="457">
        <v>40245</v>
      </c>
      <c r="D12" s="449" t="s">
        <v>1112</v>
      </c>
    </row>
    <row r="13" spans="1:4" ht="24" customHeight="1" x14ac:dyDescent="0.2">
      <c r="A13" s="449">
        <v>13</v>
      </c>
      <c r="B13" s="477" t="s">
        <v>1103</v>
      </c>
      <c r="C13" s="457">
        <v>40245</v>
      </c>
      <c r="D13" s="449" t="s">
        <v>1112</v>
      </c>
    </row>
    <row r="14" spans="1:4" ht="24" customHeight="1" x14ac:dyDescent="0.2">
      <c r="A14" s="449">
        <v>14</v>
      </c>
      <c r="B14" s="477" t="s">
        <v>1092</v>
      </c>
      <c r="C14" s="457">
        <v>40245</v>
      </c>
      <c r="D14" s="449" t="s">
        <v>1112</v>
      </c>
    </row>
    <row r="15" spans="1:4" ht="24" customHeight="1" x14ac:dyDescent="0.2">
      <c r="A15" s="449">
        <v>15</v>
      </c>
      <c r="B15" s="477" t="s">
        <v>1107</v>
      </c>
      <c r="C15" s="457">
        <v>40245</v>
      </c>
      <c r="D15" s="449" t="s">
        <v>1112</v>
      </c>
    </row>
    <row r="16" spans="1:4" ht="24" customHeight="1" x14ac:dyDescent="0.2">
      <c r="A16" s="449">
        <v>16</v>
      </c>
      <c r="B16" s="477" t="s">
        <v>1115</v>
      </c>
      <c r="C16" s="457">
        <v>40245</v>
      </c>
      <c r="D16" s="449" t="s">
        <v>1112</v>
      </c>
    </row>
    <row r="17" spans="1:4" ht="24" customHeight="1" x14ac:dyDescent="0.2">
      <c r="A17" s="449">
        <v>17</v>
      </c>
      <c r="B17" s="477" t="s">
        <v>1100</v>
      </c>
      <c r="C17" s="457">
        <v>40245</v>
      </c>
      <c r="D17" s="449" t="s">
        <v>1112</v>
      </c>
    </row>
    <row r="18" spans="1:4" ht="24" customHeight="1" x14ac:dyDescent="0.2">
      <c r="A18" s="449">
        <v>18</v>
      </c>
      <c r="B18" s="448" t="s">
        <v>1102</v>
      </c>
      <c r="C18" s="457">
        <v>40245</v>
      </c>
    </row>
    <row r="19" spans="1:4" ht="24" customHeight="1" thickBot="1" x14ac:dyDescent="0.25">
      <c r="A19" s="450">
        <v>19</v>
      </c>
      <c r="B19" s="478" t="s">
        <v>1097</v>
      </c>
      <c r="C19" s="458">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enableFormatConditionsCalculation="0">
    <tabColor indexed="42"/>
    <pageSetUpPr fitToPage="1"/>
  </sheetPr>
  <dimension ref="A1:E19"/>
  <sheetViews>
    <sheetView tabSelected="1" zoomScale="70" zoomScaleNormal="70" workbookViewId="0">
      <pane xSplit="2" ySplit="4" topLeftCell="C5" activePane="bottomRight" state="frozen"/>
      <selection pane="topRight" activeCell="C1" sqref="C1"/>
      <selection pane="bottomLeft" activeCell="A5" sqref="A5"/>
      <selection pane="bottomRight" activeCell="D23" sqref="D23"/>
    </sheetView>
  </sheetViews>
  <sheetFormatPr defaultColWidth="9.140625" defaultRowHeight="15.75" x14ac:dyDescent="0.2"/>
  <cols>
    <col min="1" max="1" width="9.140625" style="23" customWidth="1"/>
    <col min="2" max="2" width="77.85546875" style="48" customWidth="1"/>
    <col min="3" max="5" width="17.42578125" style="19" customWidth="1"/>
    <col min="6" max="16384" width="9.140625" style="19"/>
  </cols>
  <sheetData>
    <row r="1" spans="1:5" s="18" customFormat="1" ht="87" customHeight="1" thickBot="1" x14ac:dyDescent="0.25">
      <c r="A1" s="920" t="s">
        <v>1252</v>
      </c>
      <c r="B1" s="921"/>
      <c r="C1" s="921"/>
      <c r="D1" s="921"/>
      <c r="E1" s="922"/>
    </row>
    <row r="2" spans="1:5" s="18" customFormat="1" ht="35.1" customHeight="1" x14ac:dyDescent="0.2">
      <c r="A2" s="923" t="s">
        <v>1522</v>
      </c>
      <c r="B2" s="924"/>
      <c r="C2" s="924"/>
      <c r="D2" s="924"/>
      <c r="E2" s="925"/>
    </row>
    <row r="3" spans="1:5" ht="43.5" customHeight="1" x14ac:dyDescent="0.2">
      <c r="A3" s="29" t="s">
        <v>228</v>
      </c>
      <c r="B3" s="580" t="s">
        <v>227</v>
      </c>
      <c r="C3" s="14" t="s">
        <v>332</v>
      </c>
      <c r="D3" s="14" t="s">
        <v>333</v>
      </c>
      <c r="E3" s="34" t="s">
        <v>251</v>
      </c>
    </row>
    <row r="4" spans="1:5" ht="17.25" customHeight="1" x14ac:dyDescent="0.2">
      <c r="A4" s="30"/>
      <c r="B4" s="45"/>
      <c r="C4" s="37" t="s">
        <v>314</v>
      </c>
      <c r="D4" s="37" t="s">
        <v>315</v>
      </c>
      <c r="E4" s="38" t="s">
        <v>33</v>
      </c>
    </row>
    <row r="5" spans="1:5" x14ac:dyDescent="0.2">
      <c r="A5" s="30">
        <v>1</v>
      </c>
      <c r="B5" s="45" t="s">
        <v>394</v>
      </c>
      <c r="C5" s="49">
        <f>C6</f>
        <v>28314015</v>
      </c>
      <c r="D5" s="49">
        <f>D6</f>
        <v>740000</v>
      </c>
      <c r="E5" s="50">
        <f>C5+D5</f>
        <v>29054015</v>
      </c>
    </row>
    <row r="6" spans="1:5" x14ac:dyDescent="0.2">
      <c r="A6" s="30">
        <f>A5+1</f>
        <v>2</v>
      </c>
      <c r="B6" s="26" t="s">
        <v>292</v>
      </c>
      <c r="C6" s="51">
        <v>28314015</v>
      </c>
      <c r="D6" s="51">
        <v>740000</v>
      </c>
      <c r="E6" s="50">
        <f>C6+D6</f>
        <v>29054015</v>
      </c>
    </row>
    <row r="7" spans="1:5" ht="15.75" customHeight="1" x14ac:dyDescent="0.2">
      <c r="A7" s="30">
        <f>A6+1</f>
        <v>3</v>
      </c>
      <c r="B7" s="45" t="s">
        <v>395</v>
      </c>
      <c r="C7" s="49">
        <f>C8+C9+C10+C11+C12</f>
        <v>24995515</v>
      </c>
      <c r="D7" s="49">
        <f>D8+D9+D10+D11+D12</f>
        <v>0</v>
      </c>
      <c r="E7" s="50">
        <f>C7+D7</f>
        <v>24995515</v>
      </c>
    </row>
    <row r="8" spans="1:5" x14ac:dyDescent="0.2">
      <c r="A8" s="30">
        <f t="shared" ref="A8:A19" si="0">A7+1</f>
        <v>4</v>
      </c>
      <c r="B8" s="26" t="s">
        <v>293</v>
      </c>
      <c r="C8" s="51">
        <v>22969567</v>
      </c>
      <c r="D8" s="51">
        <v>0</v>
      </c>
      <c r="E8" s="50">
        <f>C8+D8</f>
        <v>22969567</v>
      </c>
    </row>
    <row r="9" spans="1:5" x14ac:dyDescent="0.2">
      <c r="A9" s="30">
        <f t="shared" si="0"/>
        <v>5</v>
      </c>
      <c r="B9" s="26" t="s">
        <v>294</v>
      </c>
      <c r="C9" s="51">
        <v>1799351</v>
      </c>
      <c r="D9" s="51">
        <v>0</v>
      </c>
      <c r="E9" s="50">
        <f>C9+D9</f>
        <v>1799351</v>
      </c>
    </row>
    <row r="10" spans="1:5" x14ac:dyDescent="0.2">
      <c r="A10" s="30">
        <f t="shared" si="0"/>
        <v>6</v>
      </c>
      <c r="B10" s="26" t="s">
        <v>295</v>
      </c>
      <c r="C10" s="51">
        <v>0</v>
      </c>
      <c r="D10" s="51">
        <v>0</v>
      </c>
      <c r="E10" s="50">
        <f t="shared" ref="E10:E19" si="1">C10+D10</f>
        <v>0</v>
      </c>
    </row>
    <row r="11" spans="1:5" x14ac:dyDescent="0.2">
      <c r="A11" s="30">
        <f t="shared" si="0"/>
        <v>7</v>
      </c>
      <c r="B11" s="26" t="s">
        <v>296</v>
      </c>
      <c r="C11" s="51">
        <v>0</v>
      </c>
      <c r="D11" s="51">
        <v>0</v>
      </c>
      <c r="E11" s="50">
        <f t="shared" si="1"/>
        <v>0</v>
      </c>
    </row>
    <row r="12" spans="1:5" x14ac:dyDescent="0.2">
      <c r="A12" s="30">
        <f t="shared" si="0"/>
        <v>8</v>
      </c>
      <c r="B12" s="26" t="s">
        <v>165</v>
      </c>
      <c r="C12" s="51">
        <v>226597</v>
      </c>
      <c r="D12" s="51">
        <v>0</v>
      </c>
      <c r="E12" s="50">
        <f t="shared" si="1"/>
        <v>226597</v>
      </c>
    </row>
    <row r="13" spans="1:5" ht="15.75" customHeight="1" x14ac:dyDescent="0.2">
      <c r="A13" s="30">
        <f t="shared" si="0"/>
        <v>9</v>
      </c>
      <c r="B13" s="45" t="s">
        <v>396</v>
      </c>
      <c r="C13" s="49">
        <f>C14</f>
        <v>192929</v>
      </c>
      <c r="D13" s="49">
        <f>D14</f>
        <v>0</v>
      </c>
      <c r="E13" s="50">
        <f t="shared" si="1"/>
        <v>192929</v>
      </c>
    </row>
    <row r="14" spans="1:5" x14ac:dyDescent="0.2">
      <c r="A14" s="30">
        <f t="shared" si="0"/>
        <v>10</v>
      </c>
      <c r="B14" s="26" t="s">
        <v>166</v>
      </c>
      <c r="C14" s="51">
        <v>192929</v>
      </c>
      <c r="D14" s="51">
        <v>0</v>
      </c>
      <c r="E14" s="50">
        <f t="shared" si="1"/>
        <v>192929</v>
      </c>
    </row>
    <row r="15" spans="1:5" x14ac:dyDescent="0.2">
      <c r="A15" s="30">
        <f t="shared" si="0"/>
        <v>11</v>
      </c>
      <c r="B15" s="45" t="s">
        <v>397</v>
      </c>
      <c r="C15" s="49">
        <f>SUM(C16:C18)</f>
        <v>6612325</v>
      </c>
      <c r="D15" s="49">
        <f>SUM(D16:D18)</f>
        <v>0</v>
      </c>
      <c r="E15" s="50">
        <f t="shared" si="1"/>
        <v>6612325</v>
      </c>
    </row>
    <row r="16" spans="1:5" x14ac:dyDescent="0.2">
      <c r="A16" s="30">
        <f t="shared" si="0"/>
        <v>12</v>
      </c>
      <c r="B16" s="26" t="s">
        <v>167</v>
      </c>
      <c r="C16" s="51">
        <v>1562769</v>
      </c>
      <c r="D16" s="51">
        <v>0</v>
      </c>
      <c r="E16" s="50">
        <f t="shared" si="1"/>
        <v>1562769</v>
      </c>
    </row>
    <row r="17" spans="1:5" x14ac:dyDescent="0.2">
      <c r="A17" s="30">
        <f t="shared" si="0"/>
        <v>13</v>
      </c>
      <c r="B17" s="26" t="s">
        <v>168</v>
      </c>
      <c r="C17" s="51">
        <v>1846049</v>
      </c>
      <c r="D17" s="51">
        <v>0</v>
      </c>
      <c r="E17" s="50">
        <f t="shared" si="1"/>
        <v>1846049</v>
      </c>
    </row>
    <row r="18" spans="1:5" x14ac:dyDescent="0.2">
      <c r="A18" s="30">
        <f t="shared" si="0"/>
        <v>14</v>
      </c>
      <c r="B18" s="26" t="s">
        <v>169</v>
      </c>
      <c r="C18" s="51">
        <v>3203507</v>
      </c>
      <c r="D18" s="51">
        <v>0</v>
      </c>
      <c r="E18" s="50">
        <f t="shared" si="1"/>
        <v>3203507</v>
      </c>
    </row>
    <row r="19" spans="1:5" ht="16.5" thickBot="1" x14ac:dyDescent="0.25">
      <c r="A19" s="31">
        <f t="shared" si="0"/>
        <v>15</v>
      </c>
      <c r="B19" s="47" t="s">
        <v>398</v>
      </c>
      <c r="C19" s="52">
        <f>C5+C7+C13+C15</f>
        <v>60114784</v>
      </c>
      <c r="D19" s="52">
        <f>D5+D7+D13+D15</f>
        <v>740000</v>
      </c>
      <c r="E19" s="53">
        <f t="shared" si="1"/>
        <v>60854784</v>
      </c>
    </row>
  </sheetData>
  <sheetProtection selectLockedCells="1"/>
  <protectedRanges>
    <protectedRange sqref="C16 C14:D14 C6:D6 C18 C8:D12" name="Rozsah2_1"/>
    <protectedRange sqref="C19:D19" name="Rozsah1_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enableFormatConditionsCalculation="0">
    <tabColor indexed="42"/>
    <pageSetUpPr fitToPage="1"/>
  </sheetPr>
  <dimension ref="A1:F41"/>
  <sheetViews>
    <sheetView zoomScale="70" zoomScaleNormal="70" workbookViewId="0">
      <pane xSplit="2" ySplit="4" topLeftCell="C26" activePane="bottomRight" state="frozen"/>
      <selection pane="topRight" activeCell="C1" sqref="C1"/>
      <selection pane="bottomLeft" activeCell="A5" sqref="A5"/>
      <selection pane="bottomRight" activeCell="E42" sqref="E42"/>
    </sheetView>
  </sheetViews>
  <sheetFormatPr defaultColWidth="9.140625" defaultRowHeight="15.75" x14ac:dyDescent="0.25"/>
  <cols>
    <col min="1" max="1" width="10.140625" style="3" customWidth="1"/>
    <col min="2" max="2" width="83" style="57" customWidth="1"/>
    <col min="3" max="3" width="15.42578125" style="721" customWidth="1"/>
    <col min="4" max="4" width="14.42578125" style="721" customWidth="1"/>
    <col min="5" max="5" width="16" style="721" bestFit="1" customWidth="1"/>
    <col min="6" max="6" width="9.140625" style="721"/>
    <col min="7" max="16384" width="9.140625" style="1"/>
  </cols>
  <sheetData>
    <row r="1" spans="1:6" ht="50.1" customHeight="1" thickBot="1" x14ac:dyDescent="0.3">
      <c r="A1" s="926" t="s">
        <v>1253</v>
      </c>
      <c r="B1" s="927"/>
      <c r="C1" s="927"/>
      <c r="D1" s="927"/>
      <c r="E1" s="928"/>
    </row>
    <row r="2" spans="1:6" s="18" customFormat="1" ht="38.25" customHeight="1" x14ac:dyDescent="0.2">
      <c r="A2" s="923" t="s">
        <v>1522</v>
      </c>
      <c r="B2" s="924"/>
      <c r="C2" s="924"/>
      <c r="D2" s="924"/>
      <c r="E2" s="925"/>
      <c r="F2" s="791"/>
    </row>
    <row r="3" spans="1:6" s="10" customFormat="1" ht="35.25" customHeight="1" x14ac:dyDescent="0.25">
      <c r="A3" s="553" t="s">
        <v>228</v>
      </c>
      <c r="B3" s="579" t="s">
        <v>359</v>
      </c>
      <c r="C3" s="805" t="s">
        <v>332</v>
      </c>
      <c r="D3" s="805" t="s">
        <v>333</v>
      </c>
      <c r="E3" s="810" t="s">
        <v>251</v>
      </c>
      <c r="F3" s="809"/>
    </row>
    <row r="4" spans="1:6" s="19" customFormat="1" ht="17.25" customHeight="1" x14ac:dyDescent="0.2">
      <c r="A4" s="30"/>
      <c r="B4" s="554"/>
      <c r="C4" s="654" t="s">
        <v>314</v>
      </c>
      <c r="D4" s="654" t="s">
        <v>315</v>
      </c>
      <c r="E4" s="807" t="s">
        <v>33</v>
      </c>
      <c r="F4" s="778"/>
    </row>
    <row r="5" spans="1:6" ht="31.5" x14ac:dyDescent="0.25">
      <c r="A5" s="32">
        <v>1</v>
      </c>
      <c r="B5" s="54" t="s">
        <v>957</v>
      </c>
      <c r="C5" s="649">
        <f>SUM(C6:C14)</f>
        <v>465006.88</v>
      </c>
      <c r="D5" s="649">
        <f>SUM(D12:D13)</f>
        <v>0</v>
      </c>
      <c r="E5" s="670">
        <f>C5+D5</f>
        <v>465006.88</v>
      </c>
    </row>
    <row r="6" spans="1:6" x14ac:dyDescent="0.25">
      <c r="A6" s="32" t="s">
        <v>349</v>
      </c>
      <c r="B6" s="55" t="s">
        <v>1495</v>
      </c>
      <c r="C6" s="811">
        <v>45250</v>
      </c>
      <c r="D6" s="811">
        <v>0</v>
      </c>
      <c r="E6" s="812">
        <f t="shared" ref="E6:E11" si="0">C6+D6</f>
        <v>45250</v>
      </c>
    </row>
    <row r="7" spans="1:6" x14ac:dyDescent="0.25">
      <c r="A7" s="32" t="s">
        <v>422</v>
      </c>
      <c r="B7" s="55" t="s">
        <v>1520</v>
      </c>
      <c r="C7" s="811">
        <v>263860.88</v>
      </c>
      <c r="D7" s="811">
        <v>0</v>
      </c>
      <c r="E7" s="812">
        <f t="shared" si="0"/>
        <v>263860.88</v>
      </c>
    </row>
    <row r="8" spans="1:6" x14ac:dyDescent="0.25">
      <c r="A8" s="32" t="s">
        <v>1496</v>
      </c>
      <c r="B8" s="55" t="s">
        <v>1497</v>
      </c>
      <c r="C8" s="811">
        <v>38833</v>
      </c>
      <c r="D8" s="811">
        <v>0</v>
      </c>
      <c r="E8" s="812">
        <f t="shared" si="0"/>
        <v>38833</v>
      </c>
    </row>
    <row r="9" spans="1:6" x14ac:dyDescent="0.25">
      <c r="A9" s="32" t="s">
        <v>1526</v>
      </c>
      <c r="B9" s="55" t="s">
        <v>1498</v>
      </c>
      <c r="C9" s="811">
        <v>91504</v>
      </c>
      <c r="D9" s="811">
        <v>0</v>
      </c>
      <c r="E9" s="812">
        <f t="shared" si="0"/>
        <v>91504</v>
      </c>
    </row>
    <row r="10" spans="1:6" x14ac:dyDescent="0.25">
      <c r="A10" s="32" t="s">
        <v>1527</v>
      </c>
      <c r="B10" s="55" t="s">
        <v>1499</v>
      </c>
      <c r="C10" s="811">
        <v>2699</v>
      </c>
      <c r="D10" s="811">
        <v>0</v>
      </c>
      <c r="E10" s="812">
        <f t="shared" si="0"/>
        <v>2699</v>
      </c>
    </row>
    <row r="11" spans="1:6" x14ac:dyDescent="0.25">
      <c r="A11" s="32" t="s">
        <v>1528</v>
      </c>
      <c r="B11" s="55" t="s">
        <v>1500</v>
      </c>
      <c r="C11" s="811">
        <v>3456</v>
      </c>
      <c r="D11" s="811">
        <v>0</v>
      </c>
      <c r="E11" s="812">
        <f t="shared" si="0"/>
        <v>3456</v>
      </c>
    </row>
    <row r="12" spans="1:6" x14ac:dyDescent="0.25">
      <c r="A12" s="32" t="s">
        <v>1529</v>
      </c>
      <c r="B12" s="55" t="s">
        <v>1501</v>
      </c>
      <c r="C12" s="647">
        <v>4650</v>
      </c>
      <c r="D12" s="811">
        <v>0</v>
      </c>
      <c r="E12" s="812">
        <f>C12+D12</f>
        <v>4650</v>
      </c>
    </row>
    <row r="13" spans="1:6" x14ac:dyDescent="0.25">
      <c r="A13" s="32" t="s">
        <v>1530</v>
      </c>
      <c r="B13" s="55" t="s">
        <v>1502</v>
      </c>
      <c r="C13" s="811">
        <v>12223</v>
      </c>
      <c r="D13" s="811">
        <v>0</v>
      </c>
      <c r="E13" s="812">
        <f>C13+D13</f>
        <v>12223</v>
      </c>
    </row>
    <row r="14" spans="1:6" x14ac:dyDescent="0.25">
      <c r="A14" s="32" t="s">
        <v>1531</v>
      </c>
      <c r="B14" s="55" t="s">
        <v>1503</v>
      </c>
      <c r="C14" s="646">
        <v>2531</v>
      </c>
      <c r="D14" s="811">
        <v>0</v>
      </c>
      <c r="E14" s="812">
        <f>C14+D14</f>
        <v>2531</v>
      </c>
    </row>
    <row r="15" spans="1:6" x14ac:dyDescent="0.25">
      <c r="A15" s="32"/>
      <c r="B15" s="55"/>
      <c r="C15" s="646"/>
      <c r="D15" s="811"/>
      <c r="E15" s="812"/>
    </row>
    <row r="16" spans="1:6" x14ac:dyDescent="0.25">
      <c r="A16" s="32">
        <v>2</v>
      </c>
      <c r="B16" s="54" t="s">
        <v>88</v>
      </c>
      <c r="C16" s="649">
        <f>SUM(C17:C17)</f>
        <v>890405.79</v>
      </c>
      <c r="D16" s="649">
        <f>SUM(D17:D17)</f>
        <v>0</v>
      </c>
      <c r="E16" s="670">
        <f>C16+D16</f>
        <v>890405.79</v>
      </c>
    </row>
    <row r="17" spans="1:5" x14ac:dyDescent="0.25">
      <c r="A17" s="32" t="s">
        <v>350</v>
      </c>
      <c r="B17" s="55" t="s">
        <v>1504</v>
      </c>
      <c r="C17" s="811">
        <v>890405.79</v>
      </c>
      <c r="D17" s="811">
        <v>0</v>
      </c>
      <c r="E17" s="812">
        <f>C17+D17</f>
        <v>890405.79</v>
      </c>
    </row>
    <row r="18" spans="1:5" x14ac:dyDescent="0.25">
      <c r="A18" s="32"/>
      <c r="B18" s="55"/>
      <c r="C18" s="646"/>
      <c r="D18" s="646"/>
      <c r="E18" s="670"/>
    </row>
    <row r="19" spans="1:5" x14ac:dyDescent="0.25">
      <c r="A19" s="32">
        <v>3</v>
      </c>
      <c r="B19" s="54" t="s">
        <v>288</v>
      </c>
      <c r="C19" s="649">
        <f>SUM(C20:C21)</f>
        <v>174375</v>
      </c>
      <c r="D19" s="649">
        <f>SUM(D20:D21)</f>
        <v>293500</v>
      </c>
      <c r="E19" s="670">
        <f>C19+D19</f>
        <v>467875</v>
      </c>
    </row>
    <row r="20" spans="1:5" x14ac:dyDescent="0.25">
      <c r="A20" s="32" t="s">
        <v>1532</v>
      </c>
      <c r="B20" s="138" t="s">
        <v>731</v>
      </c>
      <c r="C20" s="811">
        <v>122787.57</v>
      </c>
      <c r="D20" s="646">
        <v>293500</v>
      </c>
      <c r="E20" s="812">
        <f>C20+D20</f>
        <v>416287.57</v>
      </c>
    </row>
    <row r="21" spans="1:5" x14ac:dyDescent="0.25">
      <c r="A21" s="32" t="s">
        <v>1533</v>
      </c>
      <c r="B21" s="806" t="s">
        <v>1515</v>
      </c>
      <c r="C21" s="811">
        <v>51587.43</v>
      </c>
      <c r="D21" s="811">
        <v>0</v>
      </c>
      <c r="E21" s="812">
        <f>C21+D21</f>
        <v>51587.43</v>
      </c>
    </row>
    <row r="22" spans="1:5" x14ac:dyDescent="0.25">
      <c r="A22" s="32"/>
      <c r="B22" s="55"/>
      <c r="C22" s="646"/>
      <c r="D22" s="646"/>
      <c r="E22" s="670"/>
    </row>
    <row r="23" spans="1:5" x14ac:dyDescent="0.25">
      <c r="A23" s="32">
        <v>4</v>
      </c>
      <c r="B23" s="54" t="s">
        <v>289</v>
      </c>
      <c r="C23" s="649">
        <f>SUM(C24:C37)</f>
        <v>2518751.25</v>
      </c>
      <c r="D23" s="649">
        <f>D24+D25+D26+D27+D28+D29+D30+D31+D32+D33+D34+D35+D36+D37</f>
        <v>0</v>
      </c>
      <c r="E23" s="670">
        <f>C23+D23</f>
        <v>2518751.25</v>
      </c>
    </row>
    <row r="24" spans="1:5" x14ac:dyDescent="0.25">
      <c r="A24" s="32" t="s">
        <v>1534</v>
      </c>
      <c r="B24" s="55" t="s">
        <v>1505</v>
      </c>
      <c r="C24" s="811">
        <v>973991.25</v>
      </c>
      <c r="D24" s="811">
        <v>0</v>
      </c>
      <c r="E24" s="812">
        <f>C24+D24</f>
        <v>973991.25</v>
      </c>
    </row>
    <row r="25" spans="1:5" x14ac:dyDescent="0.25">
      <c r="A25" s="32" t="s">
        <v>1535</v>
      </c>
      <c r="B25" s="55" t="s">
        <v>1506</v>
      </c>
      <c r="C25" s="811">
        <v>24174</v>
      </c>
      <c r="D25" s="811">
        <v>0</v>
      </c>
      <c r="E25" s="812">
        <f t="shared" ref="E25:E37" si="1">C25+D25</f>
        <v>24174</v>
      </c>
    </row>
    <row r="26" spans="1:5" x14ac:dyDescent="0.25">
      <c r="A26" s="32" t="s">
        <v>1536</v>
      </c>
      <c r="B26" s="55" t="s">
        <v>1507</v>
      </c>
      <c r="C26" s="811">
        <v>201251</v>
      </c>
      <c r="D26" s="811">
        <v>0</v>
      </c>
      <c r="E26" s="812">
        <f t="shared" si="1"/>
        <v>201251</v>
      </c>
    </row>
    <row r="27" spans="1:5" x14ac:dyDescent="0.25">
      <c r="A27" s="32" t="s">
        <v>1537</v>
      </c>
      <c r="B27" s="806" t="s">
        <v>1508</v>
      </c>
      <c r="C27" s="811">
        <v>68052</v>
      </c>
      <c r="D27" s="811">
        <v>0</v>
      </c>
      <c r="E27" s="812">
        <f t="shared" si="1"/>
        <v>68052</v>
      </c>
    </row>
    <row r="28" spans="1:5" x14ac:dyDescent="0.25">
      <c r="A28" s="32" t="s">
        <v>1538</v>
      </c>
      <c r="B28" s="806" t="s">
        <v>1509</v>
      </c>
      <c r="C28" s="811">
        <v>7155</v>
      </c>
      <c r="D28" s="811">
        <v>0</v>
      </c>
      <c r="E28" s="812">
        <f t="shared" si="1"/>
        <v>7155</v>
      </c>
    </row>
    <row r="29" spans="1:5" x14ac:dyDescent="0.25">
      <c r="A29" s="32" t="s">
        <v>1539</v>
      </c>
      <c r="B29" s="806" t="s">
        <v>1510</v>
      </c>
      <c r="C29" s="811">
        <v>284946</v>
      </c>
      <c r="D29" s="811">
        <v>0</v>
      </c>
      <c r="E29" s="812">
        <f t="shared" si="1"/>
        <v>284946</v>
      </c>
    </row>
    <row r="30" spans="1:5" x14ac:dyDescent="0.25">
      <c r="A30" s="32" t="s">
        <v>1540</v>
      </c>
      <c r="B30" s="806" t="s">
        <v>1511</v>
      </c>
      <c r="C30" s="811">
        <v>27097</v>
      </c>
      <c r="D30" s="811">
        <v>0</v>
      </c>
      <c r="E30" s="812">
        <f t="shared" si="1"/>
        <v>27097</v>
      </c>
    </row>
    <row r="31" spans="1:5" x14ac:dyDescent="0.25">
      <c r="A31" s="32" t="s">
        <v>1541</v>
      </c>
      <c r="B31" s="806" t="s">
        <v>1512</v>
      </c>
      <c r="C31" s="811">
        <v>47534</v>
      </c>
      <c r="D31" s="811">
        <v>0</v>
      </c>
      <c r="E31" s="812">
        <f t="shared" si="1"/>
        <v>47534</v>
      </c>
    </row>
    <row r="32" spans="1:5" x14ac:dyDescent="0.25">
      <c r="A32" s="32" t="s">
        <v>1542</v>
      </c>
      <c r="B32" s="806" t="s">
        <v>1513</v>
      </c>
      <c r="C32" s="811">
        <v>32314</v>
      </c>
      <c r="D32" s="811">
        <v>0</v>
      </c>
      <c r="E32" s="812">
        <f t="shared" si="1"/>
        <v>32314</v>
      </c>
    </row>
    <row r="33" spans="1:6" x14ac:dyDescent="0.25">
      <c r="A33" s="32" t="s">
        <v>1543</v>
      </c>
      <c r="B33" s="806" t="s">
        <v>1514</v>
      </c>
      <c r="C33" s="811">
        <v>4600</v>
      </c>
      <c r="D33" s="811">
        <v>0</v>
      </c>
      <c r="E33" s="812">
        <f t="shared" si="1"/>
        <v>4600</v>
      </c>
    </row>
    <row r="34" spans="1:6" x14ac:dyDescent="0.25">
      <c r="A34" s="32" t="s">
        <v>1544</v>
      </c>
      <c r="B34" s="806" t="s">
        <v>1516</v>
      </c>
      <c r="C34" s="811">
        <v>98360</v>
      </c>
      <c r="D34" s="811">
        <v>0</v>
      </c>
      <c r="E34" s="812">
        <f t="shared" si="1"/>
        <v>98360</v>
      </c>
    </row>
    <row r="35" spans="1:6" x14ac:dyDescent="0.25">
      <c r="A35" s="32" t="s">
        <v>1545</v>
      </c>
      <c r="B35" s="806" t="s">
        <v>1517</v>
      </c>
      <c r="C35" s="811">
        <v>5735</v>
      </c>
      <c r="D35" s="811">
        <v>0</v>
      </c>
      <c r="E35" s="812">
        <f t="shared" si="1"/>
        <v>5735</v>
      </c>
    </row>
    <row r="36" spans="1:6" x14ac:dyDescent="0.25">
      <c r="A36" s="32" t="s">
        <v>1546</v>
      </c>
      <c r="B36" s="806" t="s">
        <v>1518</v>
      </c>
      <c r="C36" s="811">
        <v>4200</v>
      </c>
      <c r="D36" s="811">
        <v>0</v>
      </c>
      <c r="E36" s="812">
        <f t="shared" si="1"/>
        <v>4200</v>
      </c>
    </row>
    <row r="37" spans="1:6" x14ac:dyDescent="0.25">
      <c r="A37" s="32" t="s">
        <v>1547</v>
      </c>
      <c r="B37" s="806" t="s">
        <v>1519</v>
      </c>
      <c r="C37" s="811">
        <v>739342</v>
      </c>
      <c r="D37" s="811">
        <v>0</v>
      </c>
      <c r="E37" s="812">
        <f t="shared" si="1"/>
        <v>739342</v>
      </c>
    </row>
    <row r="38" spans="1:6" x14ac:dyDescent="0.25">
      <c r="A38" s="32"/>
      <c r="B38" s="55"/>
      <c r="C38" s="646"/>
      <c r="D38" s="646"/>
      <c r="E38" s="812"/>
    </row>
    <row r="39" spans="1:6" ht="16.5" thickBot="1" x14ac:dyDescent="0.3">
      <c r="A39" s="33">
        <v>5</v>
      </c>
      <c r="B39" s="56" t="s">
        <v>334</v>
      </c>
      <c r="C39" s="677">
        <f>C5+C16+C19+C23</f>
        <v>4048538.92</v>
      </c>
      <c r="D39" s="677">
        <f>D5+D16+D19+D23</f>
        <v>293500</v>
      </c>
      <c r="E39" s="773">
        <f>C39+D39</f>
        <v>4342038.92</v>
      </c>
    </row>
    <row r="41" spans="1:6" s="319" customFormat="1" x14ac:dyDescent="0.25">
      <c r="A41" s="317"/>
      <c r="B41" s="318" t="s">
        <v>958</v>
      </c>
      <c r="C41" s="808"/>
      <c r="D41" s="808"/>
      <c r="E41" s="808"/>
      <c r="F41" s="808"/>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62"/>
  <sheetViews>
    <sheetView zoomScale="70" zoomScaleNormal="70" workbookViewId="0">
      <pane xSplit="2" ySplit="5" topLeftCell="E50" activePane="bottomRight" state="frozen"/>
      <selection pane="topRight" activeCell="C1" sqref="C1"/>
      <selection pane="bottomLeft" activeCell="A6" sqref="A6"/>
      <selection pane="bottomRight" activeCell="G64" sqref="G64"/>
    </sheetView>
  </sheetViews>
  <sheetFormatPr defaultColWidth="9.140625" defaultRowHeight="15.75" x14ac:dyDescent="0.25"/>
  <cols>
    <col min="1" max="1" width="7.85546875" style="3" customWidth="1"/>
    <col min="2" max="2" width="71.140625" style="132" customWidth="1"/>
    <col min="3" max="3" width="16.42578125" style="133" customWidth="1"/>
    <col min="4" max="4" width="16.5703125" style="133" customWidth="1"/>
    <col min="5" max="5" width="16.42578125" style="133" customWidth="1"/>
    <col min="6" max="6" width="19.140625" style="133" customWidth="1"/>
    <col min="7" max="7" width="16.85546875" style="133" customWidth="1"/>
    <col min="8" max="8" width="17.42578125" style="133" customWidth="1"/>
    <col min="9" max="16384" width="9.140625" style="1"/>
  </cols>
  <sheetData>
    <row r="1" spans="1:8" ht="35.1" customHeight="1" thickBot="1" x14ac:dyDescent="0.3">
      <c r="A1" s="935" t="s">
        <v>1305</v>
      </c>
      <c r="B1" s="936"/>
      <c r="C1" s="936"/>
      <c r="D1" s="936"/>
      <c r="E1" s="936"/>
      <c r="F1" s="936"/>
      <c r="G1" s="936"/>
      <c r="H1" s="937"/>
    </row>
    <row r="2" spans="1:8" ht="32.1" customHeight="1" x14ac:dyDescent="0.25">
      <c r="A2" s="923" t="s">
        <v>1522</v>
      </c>
      <c r="B2" s="924"/>
      <c r="C2" s="924"/>
      <c r="D2" s="924"/>
      <c r="E2" s="924"/>
      <c r="F2" s="924"/>
      <c r="G2" s="924"/>
      <c r="H2" s="925"/>
    </row>
    <row r="3" spans="1:8" ht="24" customHeight="1" x14ac:dyDescent="0.25">
      <c r="A3" s="938" t="s">
        <v>228</v>
      </c>
      <c r="B3" s="939" t="s">
        <v>359</v>
      </c>
      <c r="C3" s="941">
        <v>2014</v>
      </c>
      <c r="D3" s="942"/>
      <c r="E3" s="941">
        <v>2015</v>
      </c>
      <c r="F3" s="942"/>
      <c r="G3" s="941" t="s">
        <v>1261</v>
      </c>
      <c r="H3" s="943"/>
    </row>
    <row r="4" spans="1:8" s="10" customFormat="1" ht="31.5" x14ac:dyDescent="0.25">
      <c r="A4" s="938"/>
      <c r="B4" s="940"/>
      <c r="C4" s="14" t="s">
        <v>360</v>
      </c>
      <c r="D4" s="14" t="s">
        <v>361</v>
      </c>
      <c r="E4" s="14" t="s">
        <v>360</v>
      </c>
      <c r="F4" s="14" t="s">
        <v>361</v>
      </c>
      <c r="G4" s="14" t="s">
        <v>360</v>
      </c>
      <c r="H4" s="28" t="s">
        <v>361</v>
      </c>
    </row>
    <row r="5" spans="1:8" s="10" customFormat="1" x14ac:dyDescent="0.25">
      <c r="A5" s="29"/>
      <c r="B5" s="45"/>
      <c r="C5" s="14" t="s">
        <v>314</v>
      </c>
      <c r="D5" s="14" t="s">
        <v>315</v>
      </c>
      <c r="E5" s="14" t="s">
        <v>316</v>
      </c>
      <c r="F5" s="14" t="s">
        <v>323</v>
      </c>
      <c r="G5" s="14" t="s">
        <v>34</v>
      </c>
      <c r="H5" s="28" t="s">
        <v>35</v>
      </c>
    </row>
    <row r="6" spans="1:8" x14ac:dyDescent="0.25">
      <c r="A6" s="32">
        <v>1</v>
      </c>
      <c r="B6" s="63" t="s">
        <v>284</v>
      </c>
      <c r="C6" s="60">
        <f>SUM(C7:C10)</f>
        <v>154</v>
      </c>
      <c r="D6" s="60">
        <f>SUM(D7:D10)</f>
        <v>107778</v>
      </c>
      <c r="E6" s="649">
        <f>SUM(E7:E10)</f>
        <v>30.5</v>
      </c>
      <c r="F6" s="649">
        <f>SUM(F7:F10)</f>
        <v>338467.15</v>
      </c>
      <c r="G6" s="154">
        <f>E6-C6</f>
        <v>-123.5</v>
      </c>
      <c r="H6" s="155">
        <f>F6-D6/30.126</f>
        <v>334889.57581159135</v>
      </c>
    </row>
    <row r="7" spans="1:8" x14ac:dyDescent="0.25">
      <c r="A7" s="32">
        <f>A6+1</f>
        <v>2</v>
      </c>
      <c r="B7" s="430" t="s">
        <v>304</v>
      </c>
      <c r="C7" s="144"/>
      <c r="D7" s="144"/>
      <c r="E7" s="709"/>
      <c r="F7" s="709"/>
      <c r="G7" s="154">
        <f t="shared" ref="G7:H59" si="0">E7-C7</f>
        <v>0</v>
      </c>
      <c r="H7" s="155">
        <f>F7-D7/30.126</f>
        <v>0</v>
      </c>
    </row>
    <row r="8" spans="1:8" x14ac:dyDescent="0.25">
      <c r="A8" s="32">
        <f t="shared" ref="A8:A59" si="1">A7+1</f>
        <v>3</v>
      </c>
      <c r="B8" s="430" t="s">
        <v>330</v>
      </c>
      <c r="C8" s="144"/>
      <c r="D8" s="144"/>
      <c r="E8" s="709"/>
      <c r="F8" s="709"/>
      <c r="G8" s="154">
        <f t="shared" si="0"/>
        <v>0</v>
      </c>
      <c r="H8" s="155">
        <f>F8-D8/30.126</f>
        <v>0</v>
      </c>
    </row>
    <row r="9" spans="1:8" x14ac:dyDescent="0.25">
      <c r="A9" s="32">
        <f t="shared" si="1"/>
        <v>4</v>
      </c>
      <c r="B9" s="430" t="s">
        <v>70</v>
      </c>
      <c r="C9" s="144"/>
      <c r="D9" s="144"/>
      <c r="E9" s="709"/>
      <c r="F9" s="709"/>
      <c r="G9" s="154">
        <f t="shared" si="0"/>
        <v>0</v>
      </c>
      <c r="H9" s="155">
        <f t="shared" si="0"/>
        <v>0</v>
      </c>
    </row>
    <row r="10" spans="1:8" x14ac:dyDescent="0.25">
      <c r="A10" s="32">
        <f t="shared" si="1"/>
        <v>5</v>
      </c>
      <c r="B10" s="430" t="s">
        <v>329</v>
      </c>
      <c r="C10" s="144">
        <v>154</v>
      </c>
      <c r="D10" s="144">
        <v>107778</v>
      </c>
      <c r="E10" s="709">
        <v>30.5</v>
      </c>
      <c r="F10" s="709">
        <v>338467.15</v>
      </c>
      <c r="G10" s="154">
        <f t="shared" si="0"/>
        <v>-123.5</v>
      </c>
      <c r="H10" s="155">
        <f t="shared" si="0"/>
        <v>230689.15000000002</v>
      </c>
    </row>
    <row r="11" spans="1:8" x14ac:dyDescent="0.25">
      <c r="A11" s="32">
        <f t="shared" si="1"/>
        <v>6</v>
      </c>
      <c r="B11" s="466" t="s">
        <v>1064</v>
      </c>
      <c r="C11" s="60">
        <f>SUM(C12:C15)</f>
        <v>4877823</v>
      </c>
      <c r="D11" s="60">
        <f>SUM(D12:D15)</f>
        <v>4839946</v>
      </c>
      <c r="E11" s="649">
        <f>SUM(E12:E15)</f>
        <v>4940003.5500000007</v>
      </c>
      <c r="F11" s="649">
        <f>SUM(F12:F15)</f>
        <v>5008041.7</v>
      </c>
      <c r="G11" s="154">
        <f t="shared" si="0"/>
        <v>62180.550000000745</v>
      </c>
      <c r="H11" s="155">
        <f t="shared" si="0"/>
        <v>168095.70000000019</v>
      </c>
    </row>
    <row r="12" spans="1:8" x14ac:dyDescent="0.25">
      <c r="A12" s="32">
        <f t="shared" si="1"/>
        <v>7</v>
      </c>
      <c r="B12" s="430" t="s">
        <v>105</v>
      </c>
      <c r="C12" s="144">
        <v>4106903</v>
      </c>
      <c r="D12" s="144">
        <v>-211</v>
      </c>
      <c r="E12" s="709">
        <v>4125389.99</v>
      </c>
      <c r="F12" s="709"/>
      <c r="G12" s="154">
        <f t="shared" si="0"/>
        <v>18486.990000000224</v>
      </c>
      <c r="H12" s="155">
        <f t="shared" si="0"/>
        <v>211</v>
      </c>
    </row>
    <row r="13" spans="1:8" x14ac:dyDescent="0.25">
      <c r="A13" s="32">
        <f t="shared" si="1"/>
        <v>8</v>
      </c>
      <c r="B13" s="430" t="s">
        <v>106</v>
      </c>
      <c r="C13" s="144">
        <v>593369</v>
      </c>
      <c r="D13" s="144">
        <v>8458</v>
      </c>
      <c r="E13" s="709">
        <v>644906.16</v>
      </c>
      <c r="F13" s="709"/>
      <c r="G13" s="154">
        <f t="shared" si="0"/>
        <v>51537.160000000033</v>
      </c>
      <c r="H13" s="155">
        <f t="shared" si="0"/>
        <v>-8458</v>
      </c>
    </row>
    <row r="14" spans="1:8" x14ac:dyDescent="0.25">
      <c r="A14" s="32">
        <f>A13+1</f>
        <v>9</v>
      </c>
      <c r="B14" s="430" t="s">
        <v>107</v>
      </c>
      <c r="C14" s="144">
        <v>0</v>
      </c>
      <c r="D14" s="144">
        <v>0</v>
      </c>
      <c r="E14" s="709">
        <v>0</v>
      </c>
      <c r="F14" s="709"/>
      <c r="G14" s="154">
        <f t="shared" si="0"/>
        <v>0</v>
      </c>
      <c r="H14" s="155">
        <f t="shared" si="0"/>
        <v>0</v>
      </c>
    </row>
    <row r="15" spans="1:8" ht="31.5" x14ac:dyDescent="0.25">
      <c r="A15" s="380">
        <f t="shared" si="1"/>
        <v>10</v>
      </c>
      <c r="B15" s="430" t="s">
        <v>1062</v>
      </c>
      <c r="C15" s="144">
        <v>177551</v>
      </c>
      <c r="D15" s="144">
        <v>4831699</v>
      </c>
      <c r="E15" s="709">
        <v>169707.4</v>
      </c>
      <c r="F15" s="709">
        <v>5008041.7</v>
      </c>
      <c r="G15" s="154">
        <f t="shared" si="0"/>
        <v>-7843.6000000000058</v>
      </c>
      <c r="H15" s="155">
        <f t="shared" si="0"/>
        <v>176342.70000000019</v>
      </c>
    </row>
    <row r="16" spans="1:8" x14ac:dyDescent="0.25">
      <c r="A16" s="32">
        <f t="shared" si="1"/>
        <v>11</v>
      </c>
      <c r="B16" s="466" t="s">
        <v>31</v>
      </c>
      <c r="C16" s="144">
        <v>0</v>
      </c>
      <c r="D16" s="144">
        <v>83269</v>
      </c>
      <c r="E16" s="709">
        <v>0</v>
      </c>
      <c r="F16" s="709">
        <v>94368.5</v>
      </c>
      <c r="G16" s="154">
        <f t="shared" si="0"/>
        <v>0</v>
      </c>
      <c r="H16" s="155">
        <f t="shared" si="0"/>
        <v>11099.5</v>
      </c>
    </row>
    <row r="17" spans="1:8" x14ac:dyDescent="0.25">
      <c r="A17" s="32">
        <f t="shared" si="1"/>
        <v>12</v>
      </c>
      <c r="B17" s="466" t="s">
        <v>366</v>
      </c>
      <c r="C17" s="144">
        <v>36447</v>
      </c>
      <c r="D17" s="144">
        <v>-34561</v>
      </c>
      <c r="E17" s="709">
        <v>67348.02</v>
      </c>
      <c r="F17" s="709">
        <v>-26982.73</v>
      </c>
      <c r="G17" s="154">
        <f t="shared" si="0"/>
        <v>30901.020000000004</v>
      </c>
      <c r="H17" s="155">
        <f t="shared" si="0"/>
        <v>7578.27</v>
      </c>
    </row>
    <row r="18" spans="1:8" x14ac:dyDescent="0.25">
      <c r="A18" s="32">
        <f t="shared" si="1"/>
        <v>13</v>
      </c>
      <c r="B18" s="466" t="s">
        <v>367</v>
      </c>
      <c r="C18" s="144">
        <v>4110</v>
      </c>
      <c r="D18" s="144">
        <v>0</v>
      </c>
      <c r="E18" s="709">
        <v>556.32000000000005</v>
      </c>
      <c r="F18" s="709"/>
      <c r="G18" s="154">
        <f t="shared" si="0"/>
        <v>-3553.68</v>
      </c>
      <c r="H18" s="155">
        <f t="shared" si="0"/>
        <v>0</v>
      </c>
    </row>
    <row r="19" spans="1:8" x14ac:dyDescent="0.25">
      <c r="A19" s="32">
        <f t="shared" si="1"/>
        <v>14</v>
      </c>
      <c r="B19" s="466" t="s">
        <v>368</v>
      </c>
      <c r="C19" s="144">
        <v>0</v>
      </c>
      <c r="D19" s="144">
        <v>24671</v>
      </c>
      <c r="E19" s="709">
        <v>142882.5</v>
      </c>
      <c r="F19" s="709">
        <v>18764.61</v>
      </c>
      <c r="G19" s="154">
        <f t="shared" si="0"/>
        <v>142882.5</v>
      </c>
      <c r="H19" s="155">
        <f t="shared" si="0"/>
        <v>-5906.3899999999994</v>
      </c>
    </row>
    <row r="20" spans="1:8" x14ac:dyDescent="0.25">
      <c r="A20" s="32">
        <f t="shared" si="1"/>
        <v>15</v>
      </c>
      <c r="B20" s="466" t="s">
        <v>369</v>
      </c>
      <c r="C20" s="144">
        <v>0</v>
      </c>
      <c r="D20" s="144">
        <v>0</v>
      </c>
      <c r="E20" s="709">
        <v>0</v>
      </c>
      <c r="F20" s="709">
        <v>0</v>
      </c>
      <c r="G20" s="154">
        <f t="shared" si="0"/>
        <v>0</v>
      </c>
      <c r="H20" s="155">
        <f t="shared" si="0"/>
        <v>0</v>
      </c>
    </row>
    <row r="21" spans="1:8" x14ac:dyDescent="0.25">
      <c r="A21" s="32">
        <f t="shared" si="1"/>
        <v>16</v>
      </c>
      <c r="B21" s="466" t="s">
        <v>1065</v>
      </c>
      <c r="C21" s="60">
        <f>SUM(C22:C23)</f>
        <v>0</v>
      </c>
      <c r="D21" s="60">
        <f>SUM(D22:D23)</f>
        <v>4770</v>
      </c>
      <c r="E21" s="649">
        <f>SUM(E22:E23)</f>
        <v>0</v>
      </c>
      <c r="F21" s="649">
        <f>SUM(F22:F23)</f>
        <v>1309.1400000000001</v>
      </c>
      <c r="G21" s="154">
        <f t="shared" si="0"/>
        <v>0</v>
      </c>
      <c r="H21" s="155">
        <f t="shared" si="0"/>
        <v>-3460.8599999999997</v>
      </c>
    </row>
    <row r="22" spans="1:8" x14ac:dyDescent="0.25">
      <c r="A22" s="32">
        <f t="shared" si="1"/>
        <v>17</v>
      </c>
      <c r="B22" s="430" t="s">
        <v>111</v>
      </c>
      <c r="C22" s="144">
        <v>0</v>
      </c>
      <c r="D22" s="144">
        <v>3</v>
      </c>
      <c r="E22" s="709">
        <v>0</v>
      </c>
      <c r="F22" s="709">
        <v>0</v>
      </c>
      <c r="G22" s="154">
        <f t="shared" si="0"/>
        <v>0</v>
      </c>
      <c r="H22" s="155">
        <f t="shared" si="0"/>
        <v>-3</v>
      </c>
    </row>
    <row r="23" spans="1:8" x14ac:dyDescent="0.25">
      <c r="A23" s="32">
        <f t="shared" si="1"/>
        <v>18</v>
      </c>
      <c r="B23" s="430" t="s">
        <v>112</v>
      </c>
      <c r="C23" s="144">
        <v>0</v>
      </c>
      <c r="D23" s="144">
        <v>4767</v>
      </c>
      <c r="E23" s="709">
        <v>0</v>
      </c>
      <c r="F23" s="710">
        <v>1309.1400000000001</v>
      </c>
      <c r="G23" s="154">
        <f t="shared" si="0"/>
        <v>0</v>
      </c>
      <c r="H23" s="155">
        <f t="shared" si="0"/>
        <v>-3457.8599999999997</v>
      </c>
    </row>
    <row r="24" spans="1:8" x14ac:dyDescent="0.25">
      <c r="A24" s="32">
        <f t="shared" si="1"/>
        <v>19</v>
      </c>
      <c r="B24" s="466" t="s">
        <v>370</v>
      </c>
      <c r="C24" s="144">
        <v>56</v>
      </c>
      <c r="D24" s="144">
        <v>27</v>
      </c>
      <c r="E24" s="709">
        <v>191.43</v>
      </c>
      <c r="F24" s="709">
        <v>360.08</v>
      </c>
      <c r="G24" s="154">
        <f t="shared" si="0"/>
        <v>135.43</v>
      </c>
      <c r="H24" s="155">
        <f t="shared" si="0"/>
        <v>333.08</v>
      </c>
    </row>
    <row r="25" spans="1:8" ht="15.75" customHeight="1" x14ac:dyDescent="0.25">
      <c r="A25" s="32">
        <f t="shared" si="1"/>
        <v>20</v>
      </c>
      <c r="B25" s="466" t="s">
        <v>1066</v>
      </c>
      <c r="C25" s="60">
        <f>SUM(C26:C38)</f>
        <v>5542434</v>
      </c>
      <c r="D25" s="60">
        <f>SUM(D26:D38)</f>
        <v>1201167</v>
      </c>
      <c r="E25" s="649">
        <f>SUM(E26:E38)</f>
        <v>5948109.4699999997</v>
      </c>
      <c r="F25" s="649">
        <f>SUM(F26:F38)</f>
        <v>861999.78</v>
      </c>
      <c r="G25" s="154">
        <f t="shared" si="0"/>
        <v>405675.46999999974</v>
      </c>
      <c r="H25" s="155">
        <f t="shared" si="0"/>
        <v>-339167.22</v>
      </c>
    </row>
    <row r="26" spans="1:8" ht="16.350000000000001" customHeight="1" x14ac:dyDescent="0.25">
      <c r="A26" s="32">
        <f t="shared" si="1"/>
        <v>21</v>
      </c>
      <c r="B26" s="467" t="s">
        <v>1442</v>
      </c>
      <c r="C26" s="144">
        <v>1423919</v>
      </c>
      <c r="D26" s="144">
        <v>0</v>
      </c>
      <c r="E26" s="709">
        <v>1782909.06</v>
      </c>
      <c r="F26" s="709">
        <v>0</v>
      </c>
      <c r="G26" s="154">
        <f t="shared" si="0"/>
        <v>358990.06000000006</v>
      </c>
      <c r="H26" s="155">
        <f t="shared" si="0"/>
        <v>0</v>
      </c>
    </row>
    <row r="27" spans="1:8" x14ac:dyDescent="0.25">
      <c r="A27" s="32">
        <f t="shared" si="1"/>
        <v>22</v>
      </c>
      <c r="B27" s="430" t="s">
        <v>1061</v>
      </c>
      <c r="C27" s="144">
        <v>738634</v>
      </c>
      <c r="D27" s="144">
        <v>0</v>
      </c>
      <c r="E27" s="709">
        <v>560598.82999999996</v>
      </c>
      <c r="F27" s="709">
        <v>0</v>
      </c>
      <c r="G27" s="154">
        <f t="shared" si="0"/>
        <v>-178035.17000000004</v>
      </c>
      <c r="H27" s="155">
        <f t="shared" si="0"/>
        <v>0</v>
      </c>
    </row>
    <row r="28" spans="1:8" x14ac:dyDescent="0.25">
      <c r="A28" s="32">
        <f t="shared" si="1"/>
        <v>23</v>
      </c>
      <c r="B28" s="628" t="s">
        <v>113</v>
      </c>
      <c r="C28" s="144"/>
      <c r="D28" s="144">
        <v>146160</v>
      </c>
      <c r="E28" s="709">
        <v>65096.3</v>
      </c>
      <c r="F28" s="709">
        <v>87600.26</v>
      </c>
      <c r="G28" s="154">
        <f t="shared" si="0"/>
        <v>65096.3</v>
      </c>
      <c r="H28" s="155">
        <f t="shared" si="0"/>
        <v>-58559.740000000005</v>
      </c>
    </row>
    <row r="29" spans="1:8" x14ac:dyDescent="0.25">
      <c r="A29" s="32">
        <f t="shared" si="1"/>
        <v>24</v>
      </c>
      <c r="B29" s="628" t="s">
        <v>114</v>
      </c>
      <c r="C29" s="144">
        <v>0</v>
      </c>
      <c r="D29" s="144">
        <v>0</v>
      </c>
      <c r="E29" s="709">
        <v>0</v>
      </c>
      <c r="F29" s="709">
        <v>0</v>
      </c>
      <c r="G29" s="154">
        <f t="shared" si="0"/>
        <v>0</v>
      </c>
      <c r="H29" s="155">
        <f t="shared" si="0"/>
        <v>0</v>
      </c>
    </row>
    <row r="30" spans="1:8" x14ac:dyDescent="0.25">
      <c r="A30" s="32">
        <f t="shared" si="1"/>
        <v>25</v>
      </c>
      <c r="B30" s="430" t="s">
        <v>963</v>
      </c>
      <c r="C30" s="144">
        <v>44464</v>
      </c>
      <c r="D30" s="144">
        <v>0</v>
      </c>
      <c r="E30" s="709">
        <v>48944.81</v>
      </c>
      <c r="F30" s="709">
        <v>0</v>
      </c>
      <c r="G30" s="154">
        <f t="shared" si="0"/>
        <v>4480.8099999999977</v>
      </c>
      <c r="H30" s="155">
        <f t="shared" si="0"/>
        <v>0</v>
      </c>
    </row>
    <row r="31" spans="1:8" x14ac:dyDescent="0.25">
      <c r="A31" s="32">
        <f t="shared" si="1"/>
        <v>26</v>
      </c>
      <c r="B31" s="430" t="s">
        <v>115</v>
      </c>
      <c r="C31" s="144">
        <v>0</v>
      </c>
      <c r="D31" s="144">
        <v>0</v>
      </c>
      <c r="E31" s="709">
        <v>128171</v>
      </c>
      <c r="F31" s="709">
        <v>0</v>
      </c>
      <c r="G31" s="154">
        <f t="shared" si="0"/>
        <v>128171</v>
      </c>
      <c r="H31" s="155">
        <f t="shared" si="0"/>
        <v>0</v>
      </c>
    </row>
    <row r="32" spans="1:8" x14ac:dyDescent="0.25">
      <c r="A32" s="32">
        <f t="shared" si="1"/>
        <v>27</v>
      </c>
      <c r="B32" s="430" t="s">
        <v>116</v>
      </c>
      <c r="C32" s="144">
        <v>0</v>
      </c>
      <c r="D32" s="144">
        <v>0</v>
      </c>
      <c r="E32" s="709">
        <v>0</v>
      </c>
      <c r="F32" s="709">
        <v>0</v>
      </c>
      <c r="G32" s="154">
        <f t="shared" si="0"/>
        <v>0</v>
      </c>
      <c r="H32" s="155">
        <f t="shared" si="0"/>
        <v>0</v>
      </c>
    </row>
    <row r="33" spans="1:8" x14ac:dyDescent="0.25">
      <c r="A33" s="32">
        <f t="shared" si="1"/>
        <v>28</v>
      </c>
      <c r="B33" s="430" t="s">
        <v>117</v>
      </c>
      <c r="C33" s="144">
        <v>0</v>
      </c>
      <c r="D33" s="144">
        <v>0</v>
      </c>
      <c r="E33" s="709">
        <v>0</v>
      </c>
      <c r="F33" s="709">
        <v>0</v>
      </c>
      <c r="G33" s="154">
        <f t="shared" si="0"/>
        <v>0</v>
      </c>
      <c r="H33" s="155">
        <f t="shared" si="0"/>
        <v>0</v>
      </c>
    </row>
    <row r="34" spans="1:8" x14ac:dyDescent="0.25">
      <c r="A34" s="32">
        <f t="shared" si="1"/>
        <v>29</v>
      </c>
      <c r="B34" s="430" t="s">
        <v>118</v>
      </c>
      <c r="C34" s="144">
        <v>0</v>
      </c>
      <c r="D34" s="144">
        <v>0</v>
      </c>
      <c r="E34" s="709">
        <v>0</v>
      </c>
      <c r="F34" s="709">
        <v>0</v>
      </c>
      <c r="G34" s="154">
        <f t="shared" si="0"/>
        <v>0</v>
      </c>
      <c r="H34" s="155">
        <f t="shared" si="0"/>
        <v>0</v>
      </c>
    </row>
    <row r="35" spans="1:8" x14ac:dyDescent="0.25">
      <c r="A35" s="32">
        <f t="shared" si="1"/>
        <v>30</v>
      </c>
      <c r="B35" s="430" t="s">
        <v>119</v>
      </c>
      <c r="C35" s="144">
        <v>1237089</v>
      </c>
      <c r="D35" s="144">
        <v>-1</v>
      </c>
      <c r="E35" s="709">
        <v>1355290.09</v>
      </c>
      <c r="F35" s="709">
        <v>1.28</v>
      </c>
      <c r="G35" s="154">
        <f t="shared" si="0"/>
        <v>118201.09000000008</v>
      </c>
      <c r="H35" s="155">
        <f t="shared" si="0"/>
        <v>2.2800000000000002</v>
      </c>
    </row>
    <row r="36" spans="1:8" ht="31.5" x14ac:dyDescent="0.25">
      <c r="A36" s="325">
        <f t="shared" si="1"/>
        <v>31</v>
      </c>
      <c r="B36" s="468" t="s">
        <v>1031</v>
      </c>
      <c r="C36" s="144"/>
      <c r="D36" s="144">
        <v>0</v>
      </c>
      <c r="E36" s="709">
        <v>0</v>
      </c>
      <c r="F36" s="709">
        <v>0</v>
      </c>
      <c r="G36" s="154">
        <f t="shared" si="0"/>
        <v>0</v>
      </c>
      <c r="H36" s="155">
        <f t="shared" si="0"/>
        <v>0</v>
      </c>
    </row>
    <row r="37" spans="1:8" x14ac:dyDescent="0.25">
      <c r="A37" s="32">
        <f t="shared" si="1"/>
        <v>32</v>
      </c>
      <c r="B37" s="430" t="s">
        <v>120</v>
      </c>
      <c r="C37" s="144">
        <v>8852</v>
      </c>
      <c r="D37" s="144">
        <v>51239</v>
      </c>
      <c r="E37" s="709">
        <v>13733.86</v>
      </c>
      <c r="F37" s="709"/>
      <c r="G37" s="154">
        <f t="shared" si="0"/>
        <v>4881.8600000000006</v>
      </c>
      <c r="H37" s="155">
        <f t="shared" si="0"/>
        <v>-51239</v>
      </c>
    </row>
    <row r="38" spans="1:8" ht="42.75" customHeight="1" x14ac:dyDescent="0.25">
      <c r="A38" s="32">
        <f t="shared" si="1"/>
        <v>33</v>
      </c>
      <c r="B38" s="430" t="s">
        <v>1443</v>
      </c>
      <c r="C38" s="144">
        <v>2089476</v>
      </c>
      <c r="D38" s="144">
        <v>1003769</v>
      </c>
      <c r="E38" s="709">
        <v>1993365.52</v>
      </c>
      <c r="F38" s="709">
        <v>774398.24</v>
      </c>
      <c r="G38" s="154">
        <f t="shared" si="0"/>
        <v>-96110.479999999981</v>
      </c>
      <c r="H38" s="155">
        <f t="shared" si="0"/>
        <v>-229370.76</v>
      </c>
    </row>
    <row r="39" spans="1:8" x14ac:dyDescent="0.25">
      <c r="A39" s="32">
        <f t="shared" si="1"/>
        <v>34</v>
      </c>
      <c r="B39" s="466" t="s">
        <v>378</v>
      </c>
      <c r="C39" s="144">
        <v>0</v>
      </c>
      <c r="D39" s="144">
        <v>108721</v>
      </c>
      <c r="E39" s="709">
        <v>0</v>
      </c>
      <c r="F39" s="709">
        <v>2746</v>
      </c>
      <c r="G39" s="154">
        <f t="shared" si="0"/>
        <v>0</v>
      </c>
      <c r="H39" s="155">
        <f t="shared" si="0"/>
        <v>-105975</v>
      </c>
    </row>
    <row r="40" spans="1:8" x14ac:dyDescent="0.25">
      <c r="A40" s="32">
        <f t="shared" si="1"/>
        <v>35</v>
      </c>
      <c r="B40" s="466" t="s">
        <v>160</v>
      </c>
      <c r="C40" s="144">
        <v>0</v>
      </c>
      <c r="D40" s="144">
        <v>0</v>
      </c>
      <c r="E40" s="709">
        <v>0</v>
      </c>
      <c r="F40" s="709">
        <v>0</v>
      </c>
      <c r="G40" s="154">
        <f t="shared" si="0"/>
        <v>0</v>
      </c>
      <c r="H40" s="155">
        <f t="shared" si="0"/>
        <v>0</v>
      </c>
    </row>
    <row r="41" spans="1:8" x14ac:dyDescent="0.25">
      <c r="A41" s="32">
        <f t="shared" si="1"/>
        <v>36</v>
      </c>
      <c r="B41" s="466" t="s">
        <v>157</v>
      </c>
      <c r="C41" s="144">
        <v>0</v>
      </c>
      <c r="D41" s="144">
        <v>0</v>
      </c>
      <c r="E41" s="709">
        <v>0</v>
      </c>
      <c r="F41" s="709">
        <v>0</v>
      </c>
      <c r="G41" s="154">
        <f t="shared" si="0"/>
        <v>0</v>
      </c>
      <c r="H41" s="155">
        <f t="shared" si="0"/>
        <v>0</v>
      </c>
    </row>
    <row r="42" spans="1:8" ht="23.25" customHeight="1" x14ac:dyDescent="0.25">
      <c r="A42" s="32">
        <f t="shared" si="1"/>
        <v>37</v>
      </c>
      <c r="B42" s="466" t="s">
        <v>353</v>
      </c>
      <c r="C42" s="144">
        <v>0</v>
      </c>
      <c r="D42" s="144">
        <v>0</v>
      </c>
      <c r="E42" s="709">
        <v>0</v>
      </c>
      <c r="F42" s="709">
        <v>1557</v>
      </c>
      <c r="G42" s="154">
        <f t="shared" si="0"/>
        <v>0</v>
      </c>
      <c r="H42" s="155">
        <f t="shared" si="0"/>
        <v>1557</v>
      </c>
    </row>
    <row r="43" spans="1:8" x14ac:dyDescent="0.25">
      <c r="A43" s="32">
        <f t="shared" si="1"/>
        <v>38</v>
      </c>
      <c r="B43" s="466" t="s">
        <v>285</v>
      </c>
      <c r="C43" s="144">
        <v>0</v>
      </c>
      <c r="D43" s="144">
        <v>0</v>
      </c>
      <c r="E43" s="709">
        <v>0</v>
      </c>
      <c r="F43" s="709">
        <v>0</v>
      </c>
      <c r="G43" s="154">
        <f t="shared" si="0"/>
        <v>0</v>
      </c>
      <c r="H43" s="155">
        <f t="shared" si="0"/>
        <v>0</v>
      </c>
    </row>
    <row r="44" spans="1:8" ht="18.75" x14ac:dyDescent="0.25">
      <c r="A44" s="32">
        <f t="shared" si="1"/>
        <v>39</v>
      </c>
      <c r="B44" s="466" t="s">
        <v>1145</v>
      </c>
      <c r="C44" s="143">
        <f>SUM(C45:C49)</f>
        <v>1267334</v>
      </c>
      <c r="D44" s="143">
        <f>SUM(D45:D49)</f>
        <v>0</v>
      </c>
      <c r="E44" s="711">
        <f>SUM(E45:E49)</f>
        <v>1027607.31</v>
      </c>
      <c r="F44" s="711">
        <f>SUM(F45:F49)</f>
        <v>0</v>
      </c>
      <c r="G44" s="154">
        <f t="shared" si="0"/>
        <v>-239726.68999999994</v>
      </c>
      <c r="H44" s="155">
        <f t="shared" si="0"/>
        <v>0</v>
      </c>
    </row>
    <row r="45" spans="1:8" x14ac:dyDescent="0.25">
      <c r="A45" s="32">
        <f>A44+1</f>
        <v>40</v>
      </c>
      <c r="B45" s="430" t="s">
        <v>263</v>
      </c>
      <c r="C45" s="144">
        <v>865464</v>
      </c>
      <c r="D45" s="481" t="s">
        <v>345</v>
      </c>
      <c r="E45" s="709">
        <v>611967.04</v>
      </c>
      <c r="F45" s="712" t="s">
        <v>345</v>
      </c>
      <c r="G45" s="154">
        <f t="shared" si="0"/>
        <v>-253496.95999999996</v>
      </c>
      <c r="H45" s="745" t="s">
        <v>345</v>
      </c>
    </row>
    <row r="46" spans="1:8" x14ac:dyDescent="0.25">
      <c r="A46" s="32">
        <f t="shared" si="1"/>
        <v>41</v>
      </c>
      <c r="B46" s="430" t="s">
        <v>121</v>
      </c>
      <c r="C46" s="144">
        <v>68335</v>
      </c>
      <c r="D46" s="481" t="s">
        <v>345</v>
      </c>
      <c r="E46" s="709">
        <v>49531.839999999997</v>
      </c>
      <c r="F46" s="712" t="s">
        <v>345</v>
      </c>
      <c r="G46" s="154">
        <f t="shared" si="0"/>
        <v>-18803.160000000003</v>
      </c>
      <c r="H46" s="154" t="s">
        <v>345</v>
      </c>
    </row>
    <row r="47" spans="1:8" ht="18.75" x14ac:dyDescent="0.25">
      <c r="A47" s="32">
        <f t="shared" si="1"/>
        <v>42</v>
      </c>
      <c r="B47" s="430" t="s">
        <v>1067</v>
      </c>
      <c r="C47" s="144">
        <v>0</v>
      </c>
      <c r="D47" s="481" t="s">
        <v>345</v>
      </c>
      <c r="E47" s="709">
        <v>0</v>
      </c>
      <c r="F47" s="712" t="s">
        <v>345</v>
      </c>
      <c r="G47" s="154">
        <f t="shared" si="0"/>
        <v>0</v>
      </c>
      <c r="H47" s="154" t="s">
        <v>345</v>
      </c>
    </row>
    <row r="48" spans="1:8" ht="31.5" x14ac:dyDescent="0.25">
      <c r="A48" s="302">
        <f t="shared" si="1"/>
        <v>43</v>
      </c>
      <c r="B48" s="467" t="s">
        <v>1141</v>
      </c>
      <c r="C48" s="144">
        <v>2734</v>
      </c>
      <c r="D48" s="481" t="s">
        <v>345</v>
      </c>
      <c r="E48" s="709">
        <v>0</v>
      </c>
      <c r="F48" s="712" t="s">
        <v>345</v>
      </c>
      <c r="G48" s="154">
        <f t="shared" si="0"/>
        <v>-2734</v>
      </c>
      <c r="H48" s="154" t="s">
        <v>345</v>
      </c>
    </row>
    <row r="49" spans="1:8" x14ac:dyDescent="0.25">
      <c r="A49" s="32">
        <f t="shared" si="1"/>
        <v>44</v>
      </c>
      <c r="B49" s="430" t="s">
        <v>1133</v>
      </c>
      <c r="C49" s="144">
        <v>330801</v>
      </c>
      <c r="D49" s="481" t="s">
        <v>345</v>
      </c>
      <c r="E49" s="709">
        <v>366108.43</v>
      </c>
      <c r="F49" s="712" t="s">
        <v>345</v>
      </c>
      <c r="G49" s="154">
        <f t="shared" si="0"/>
        <v>35307.429999999993</v>
      </c>
      <c r="H49" s="154" t="s">
        <v>345</v>
      </c>
    </row>
    <row r="50" spans="1:8" x14ac:dyDescent="0.25">
      <c r="A50" s="32">
        <f t="shared" si="1"/>
        <v>45</v>
      </c>
      <c r="B50" s="466" t="s">
        <v>379</v>
      </c>
      <c r="C50" s="144">
        <v>0</v>
      </c>
      <c r="D50" s="144"/>
      <c r="E50" s="709">
        <v>0</v>
      </c>
      <c r="F50" s="709">
        <v>0</v>
      </c>
      <c r="G50" s="154">
        <f t="shared" si="0"/>
        <v>0</v>
      </c>
      <c r="H50" s="155">
        <f t="shared" si="0"/>
        <v>0</v>
      </c>
    </row>
    <row r="51" spans="1:8" x14ac:dyDescent="0.25">
      <c r="A51" s="32">
        <f t="shared" si="1"/>
        <v>46</v>
      </c>
      <c r="B51" s="466" t="s">
        <v>158</v>
      </c>
      <c r="C51" s="144">
        <v>1380</v>
      </c>
      <c r="D51" s="144">
        <v>1308898</v>
      </c>
      <c r="E51" s="709">
        <v>4343.87</v>
      </c>
      <c r="F51" s="709">
        <v>1288453.02</v>
      </c>
      <c r="G51" s="154">
        <f t="shared" si="0"/>
        <v>2963.87</v>
      </c>
      <c r="H51" s="155">
        <f t="shared" si="0"/>
        <v>-20444.979999999981</v>
      </c>
    </row>
    <row r="52" spans="1:8" x14ac:dyDescent="0.25">
      <c r="A52" s="32">
        <f t="shared" si="1"/>
        <v>47</v>
      </c>
      <c r="B52" s="466" t="s">
        <v>201</v>
      </c>
      <c r="C52" s="43" t="s">
        <v>345</v>
      </c>
      <c r="D52" s="43" t="s">
        <v>345</v>
      </c>
      <c r="E52" s="713" t="s">
        <v>345</v>
      </c>
      <c r="F52" s="713" t="s">
        <v>345</v>
      </c>
      <c r="G52" s="65" t="s">
        <v>179</v>
      </c>
      <c r="H52" s="140" t="s">
        <v>179</v>
      </c>
    </row>
    <row r="53" spans="1:8" x14ac:dyDescent="0.25">
      <c r="A53" s="32">
        <f t="shared" si="1"/>
        <v>48</v>
      </c>
      <c r="B53" s="469" t="s">
        <v>161</v>
      </c>
      <c r="C53" s="144">
        <v>60266</v>
      </c>
      <c r="D53" s="144">
        <v>0</v>
      </c>
      <c r="E53" s="709">
        <v>71231.320000000007</v>
      </c>
      <c r="F53" s="709">
        <v>0</v>
      </c>
      <c r="G53" s="154">
        <f t="shared" si="0"/>
        <v>10965.320000000007</v>
      </c>
      <c r="H53" s="155">
        <f t="shared" si="0"/>
        <v>0</v>
      </c>
    </row>
    <row r="54" spans="1:8" x14ac:dyDescent="0.25">
      <c r="A54" s="32">
        <f t="shared" si="1"/>
        <v>49</v>
      </c>
      <c r="B54" s="470" t="s">
        <v>872</v>
      </c>
      <c r="C54" s="144">
        <v>0</v>
      </c>
      <c r="D54" s="144">
        <v>0</v>
      </c>
      <c r="E54" s="709">
        <v>0</v>
      </c>
      <c r="F54" s="709">
        <v>0</v>
      </c>
      <c r="G54" s="154">
        <f>E54-C54</f>
        <v>0</v>
      </c>
      <c r="H54" s="155">
        <f t="shared" si="0"/>
        <v>0</v>
      </c>
    </row>
    <row r="55" spans="1:8" x14ac:dyDescent="0.25">
      <c r="A55" s="302">
        <f t="shared" si="1"/>
        <v>50</v>
      </c>
      <c r="B55" s="466" t="s">
        <v>162</v>
      </c>
      <c r="C55" s="484" t="s">
        <v>345</v>
      </c>
      <c r="D55" s="484" t="s">
        <v>345</v>
      </c>
      <c r="E55" s="657" t="s">
        <v>345</v>
      </c>
      <c r="F55" s="657" t="s">
        <v>345</v>
      </c>
      <c r="G55" s="65" t="s">
        <v>179</v>
      </c>
      <c r="H55" s="140" t="s">
        <v>179</v>
      </c>
    </row>
    <row r="56" spans="1:8" x14ac:dyDescent="0.25">
      <c r="A56" s="32">
        <f t="shared" si="1"/>
        <v>51</v>
      </c>
      <c r="B56" s="466" t="s">
        <v>163</v>
      </c>
      <c r="C56" s="144">
        <v>75640585</v>
      </c>
      <c r="D56" s="144">
        <v>0</v>
      </c>
      <c r="E56" s="709">
        <v>78248784.390000001</v>
      </c>
      <c r="F56" s="709">
        <v>0</v>
      </c>
      <c r="G56" s="154">
        <f t="shared" si="0"/>
        <v>2608199.3900000006</v>
      </c>
      <c r="H56" s="155">
        <f t="shared" si="0"/>
        <v>0</v>
      </c>
    </row>
    <row r="57" spans="1:8" x14ac:dyDescent="0.25">
      <c r="A57" s="32">
        <f t="shared" si="1"/>
        <v>52</v>
      </c>
      <c r="B57" s="471" t="s">
        <v>331</v>
      </c>
      <c r="C57" s="145"/>
      <c r="D57" s="145"/>
      <c r="E57" s="714"/>
      <c r="F57" s="714"/>
      <c r="G57" s="154">
        <f t="shared" si="0"/>
        <v>0</v>
      </c>
      <c r="H57" s="155">
        <f t="shared" si="0"/>
        <v>0</v>
      </c>
    </row>
    <row r="58" spans="1:8" x14ac:dyDescent="0.25">
      <c r="A58" s="32">
        <f t="shared" si="1"/>
        <v>53</v>
      </c>
      <c r="B58" s="471" t="s">
        <v>181</v>
      </c>
      <c r="C58" s="146">
        <v>1931174</v>
      </c>
      <c r="D58" s="146">
        <v>0</v>
      </c>
      <c r="E58" s="715">
        <v>1930219.71</v>
      </c>
      <c r="F58" s="715">
        <v>0</v>
      </c>
      <c r="G58" s="154">
        <f t="shared" si="0"/>
        <v>-954.29000000003725</v>
      </c>
      <c r="H58" s="155">
        <f t="shared" si="0"/>
        <v>0</v>
      </c>
    </row>
    <row r="59" spans="1:8" s="129" customFormat="1" ht="48" thickBot="1" x14ac:dyDescent="0.3">
      <c r="A59" s="302">
        <f t="shared" si="1"/>
        <v>54</v>
      </c>
      <c r="B59" s="64" t="s">
        <v>1165</v>
      </c>
      <c r="C59" s="61">
        <v>87430587</v>
      </c>
      <c r="D59" s="61">
        <f>D6+D11+SUM(D16:D21)+D24+D25+SUM(D39:D44)+SUM(D50:D54)+D56</f>
        <v>7644686</v>
      </c>
      <c r="E59" s="658">
        <f>E6+E11+SUM(E16:E21)+E24+E25+SUM(E39:E44)+SUM(E50:E54)+E56</f>
        <v>90451088.680000007</v>
      </c>
      <c r="F59" s="658">
        <f>F6+F11+SUM(F16:F21)+F24+F25+SUM(F39:F44)+SUM(F50:F54)+F56</f>
        <v>7589084.25</v>
      </c>
      <c r="G59" s="164">
        <f t="shared" si="0"/>
        <v>3020501.6800000072</v>
      </c>
      <c r="H59" s="165">
        <f t="shared" si="0"/>
        <v>-55601.75</v>
      </c>
    </row>
    <row r="60" spans="1:8" ht="21" customHeight="1" x14ac:dyDescent="0.25">
      <c r="B60" s="3"/>
      <c r="C60" s="3"/>
      <c r="D60" s="635">
        <f>C59+D59</f>
        <v>95075273</v>
      </c>
      <c r="E60" s="636"/>
      <c r="F60" s="635">
        <f>E59+F59</f>
        <v>98040172.930000007</v>
      </c>
      <c r="G60" s="3"/>
      <c r="H60" s="3"/>
    </row>
    <row r="61" spans="1:8" x14ac:dyDescent="0.25">
      <c r="A61" s="929" t="s">
        <v>1149</v>
      </c>
      <c r="B61" s="930"/>
      <c r="C61" s="930"/>
      <c r="D61" s="930"/>
      <c r="E61" s="930"/>
      <c r="F61" s="930"/>
      <c r="G61" s="930"/>
      <c r="H61" s="931"/>
    </row>
    <row r="62" spans="1:8" ht="30.75" customHeight="1" x14ac:dyDescent="0.25">
      <c r="A62" s="932" t="s">
        <v>264</v>
      </c>
      <c r="B62" s="933"/>
      <c r="C62" s="933"/>
      <c r="D62" s="933"/>
      <c r="E62" s="933"/>
      <c r="F62" s="933"/>
      <c r="G62" s="933"/>
      <c r="H62" s="934"/>
    </row>
  </sheetData>
  <mergeCells count="9">
    <mergeCell ref="A61:H61"/>
    <mergeCell ref="A62:H62"/>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7"/>
  <sheetViews>
    <sheetView zoomScale="85" zoomScaleNormal="85" workbookViewId="0">
      <pane xSplit="2" ySplit="5" topLeftCell="E24" activePane="bottomRight" state="frozen"/>
      <selection pane="topRight" activeCell="C1" sqref="C1"/>
      <selection pane="bottomLeft" activeCell="A6" sqref="A6"/>
      <selection pane="bottomRight" activeCell="F39" sqref="F39"/>
    </sheetView>
  </sheetViews>
  <sheetFormatPr defaultColWidth="9.140625" defaultRowHeight="15.75" x14ac:dyDescent="0.25"/>
  <cols>
    <col min="1" max="1" width="7.85546875" style="3" customWidth="1"/>
    <col min="2" max="2" width="71.140625" style="132" customWidth="1"/>
    <col min="3" max="3" width="18.140625" style="133" customWidth="1"/>
    <col min="4" max="4" width="18.42578125" style="133" customWidth="1"/>
    <col min="5" max="5" width="17.42578125" style="133" customWidth="1"/>
    <col min="6" max="6" width="19.140625" style="133" customWidth="1"/>
    <col min="7" max="7" width="16.85546875" style="133" customWidth="1"/>
    <col min="8" max="8" width="17.42578125" style="133" customWidth="1"/>
    <col min="9" max="16384" width="9.140625" style="1"/>
  </cols>
  <sheetData>
    <row r="1" spans="1:9" ht="35.1" customHeight="1" x14ac:dyDescent="0.3">
      <c r="A1" s="944" t="s">
        <v>1469</v>
      </c>
      <c r="B1" s="945"/>
      <c r="C1" s="945"/>
      <c r="D1" s="945"/>
      <c r="E1" s="945"/>
      <c r="F1" s="945"/>
      <c r="G1" s="945"/>
      <c r="H1" s="946"/>
      <c r="I1" s="491"/>
    </row>
    <row r="2" spans="1:9" ht="32.1" customHeight="1" thickBot="1" x14ac:dyDescent="0.3">
      <c r="A2" s="947" t="s">
        <v>1522</v>
      </c>
      <c r="B2" s="948"/>
      <c r="C2" s="949"/>
      <c r="D2" s="949"/>
      <c r="E2" s="949"/>
      <c r="F2" s="949"/>
      <c r="G2" s="949"/>
      <c r="H2" s="950"/>
    </row>
    <row r="3" spans="1:9" ht="24" customHeight="1" x14ac:dyDescent="0.25">
      <c r="A3" s="938" t="s">
        <v>228</v>
      </c>
      <c r="B3" s="952" t="s">
        <v>359</v>
      </c>
      <c r="C3" s="954">
        <v>2014</v>
      </c>
      <c r="D3" s="955"/>
      <c r="E3" s="956">
        <v>2015</v>
      </c>
      <c r="F3" s="957"/>
      <c r="G3" s="958" t="s">
        <v>1260</v>
      </c>
      <c r="H3" s="959"/>
    </row>
    <row r="4" spans="1:9" s="10" customFormat="1" ht="32.25" thickBot="1" x14ac:dyDescent="0.3">
      <c r="A4" s="951"/>
      <c r="B4" s="953"/>
      <c r="C4" s="523" t="s">
        <v>360</v>
      </c>
      <c r="D4" s="524" t="s">
        <v>361</v>
      </c>
      <c r="E4" s="523" t="s">
        <v>360</v>
      </c>
      <c r="F4" s="525" t="s">
        <v>361</v>
      </c>
      <c r="G4" s="523" t="s">
        <v>360</v>
      </c>
      <c r="H4" s="525" t="s">
        <v>361</v>
      </c>
    </row>
    <row r="5" spans="1:9" s="10" customFormat="1" x14ac:dyDescent="0.25">
      <c r="A5" s="488"/>
      <c r="B5" s="494"/>
      <c r="C5" s="521" t="s">
        <v>314</v>
      </c>
      <c r="D5" s="486" t="s">
        <v>315</v>
      </c>
      <c r="E5" s="487" t="s">
        <v>316</v>
      </c>
      <c r="F5" s="522" t="s">
        <v>323</v>
      </c>
      <c r="G5" s="487" t="s">
        <v>34</v>
      </c>
      <c r="H5" s="522" t="s">
        <v>35</v>
      </c>
    </row>
    <row r="6" spans="1:9" x14ac:dyDescent="0.25">
      <c r="A6" s="495" t="s">
        <v>765</v>
      </c>
      <c r="B6" s="496" t="s">
        <v>1207</v>
      </c>
      <c r="C6" s="492">
        <v>153.75</v>
      </c>
      <c r="D6" s="516">
        <v>107777.59</v>
      </c>
      <c r="E6" s="492">
        <v>30.5</v>
      </c>
      <c r="F6" s="516">
        <v>338467.15</v>
      </c>
      <c r="G6" s="499">
        <f>E6-C6</f>
        <v>-123.25</v>
      </c>
      <c r="H6" s="139">
        <f>F6-D6</f>
        <v>230689.56000000003</v>
      </c>
    </row>
    <row r="7" spans="1:9" x14ac:dyDescent="0.25">
      <c r="A7" s="495" t="s">
        <v>767</v>
      </c>
      <c r="B7" s="496" t="s">
        <v>1208</v>
      </c>
      <c r="C7" s="492">
        <v>4877822.6399999997</v>
      </c>
      <c r="D7" s="516">
        <v>4839946.0199999996</v>
      </c>
      <c r="E7" s="492">
        <v>4940003.55</v>
      </c>
      <c r="F7" s="516">
        <v>5008041.7</v>
      </c>
      <c r="G7" s="499">
        <f t="shared" ref="G7:H45" si="0">E7-C7</f>
        <v>62180.910000000149</v>
      </c>
      <c r="H7" s="139">
        <f t="shared" si="0"/>
        <v>168095.68000000063</v>
      </c>
    </row>
    <row r="8" spans="1:9" x14ac:dyDescent="0.25">
      <c r="A8" s="495" t="s">
        <v>769</v>
      </c>
      <c r="B8" s="496" t="s">
        <v>1209</v>
      </c>
      <c r="C8" s="492">
        <v>0</v>
      </c>
      <c r="D8" s="516">
        <v>83269.039999999994</v>
      </c>
      <c r="E8" s="492">
        <v>0</v>
      </c>
      <c r="F8" s="516">
        <v>94368.5</v>
      </c>
      <c r="G8" s="499">
        <f t="shared" si="0"/>
        <v>0</v>
      </c>
      <c r="H8" s="139">
        <f t="shared" si="0"/>
        <v>11099.460000000006</v>
      </c>
    </row>
    <row r="9" spans="1:9" x14ac:dyDescent="0.25">
      <c r="A9" s="495" t="s">
        <v>771</v>
      </c>
      <c r="B9" s="496" t="s">
        <v>1210</v>
      </c>
      <c r="C9" s="492">
        <v>0</v>
      </c>
      <c r="D9" s="516">
        <v>0</v>
      </c>
      <c r="E9" s="492">
        <v>0</v>
      </c>
      <c r="F9" s="516">
        <v>0</v>
      </c>
      <c r="G9" s="499">
        <f t="shared" si="0"/>
        <v>0</v>
      </c>
      <c r="H9" s="139">
        <f t="shared" si="0"/>
        <v>0</v>
      </c>
    </row>
    <row r="10" spans="1:9" x14ac:dyDescent="0.25">
      <c r="A10" s="495" t="s">
        <v>773</v>
      </c>
      <c r="B10" s="496" t="s">
        <v>1211</v>
      </c>
      <c r="C10" s="492">
        <v>0</v>
      </c>
      <c r="D10" s="516">
        <v>0</v>
      </c>
      <c r="E10" s="492">
        <v>0</v>
      </c>
      <c r="F10" s="516">
        <v>0</v>
      </c>
      <c r="G10" s="499">
        <f t="shared" si="0"/>
        <v>0</v>
      </c>
      <c r="H10" s="139">
        <f t="shared" si="0"/>
        <v>0</v>
      </c>
    </row>
    <row r="11" spans="1:9" x14ac:dyDescent="0.25">
      <c r="A11" s="495" t="s">
        <v>775</v>
      </c>
      <c r="B11" s="496" t="s">
        <v>1212</v>
      </c>
      <c r="C11" s="492">
        <v>36446.74</v>
      </c>
      <c r="D11" s="516">
        <v>-34560.89</v>
      </c>
      <c r="E11" s="492">
        <v>67348.02</v>
      </c>
      <c r="F11" s="516">
        <v>-26982.73</v>
      </c>
      <c r="G11" s="499">
        <f t="shared" si="0"/>
        <v>30901.280000000006</v>
      </c>
      <c r="H11" s="139">
        <f t="shared" si="0"/>
        <v>7578.16</v>
      </c>
    </row>
    <row r="12" spans="1:9" x14ac:dyDescent="0.25">
      <c r="A12" s="495" t="s">
        <v>777</v>
      </c>
      <c r="B12" s="496" t="s">
        <v>1213</v>
      </c>
      <c r="C12" s="492">
        <v>0</v>
      </c>
      <c r="D12" s="516">
        <v>0</v>
      </c>
      <c r="E12" s="492">
        <v>0</v>
      </c>
      <c r="F12" s="516">
        <v>0</v>
      </c>
      <c r="G12" s="499">
        <f t="shared" si="0"/>
        <v>0</v>
      </c>
      <c r="H12" s="139">
        <f t="shared" si="0"/>
        <v>0</v>
      </c>
    </row>
    <row r="13" spans="1:9" x14ac:dyDescent="0.25">
      <c r="A13" s="495" t="s">
        <v>779</v>
      </c>
      <c r="B13" s="496" t="s">
        <v>1214</v>
      </c>
      <c r="C13" s="492">
        <v>0</v>
      </c>
      <c r="D13" s="516">
        <v>0</v>
      </c>
      <c r="E13" s="492">
        <v>556.32000000000005</v>
      </c>
      <c r="F13" s="516">
        <v>0</v>
      </c>
      <c r="G13" s="499">
        <f t="shared" si="0"/>
        <v>556.32000000000005</v>
      </c>
      <c r="H13" s="139">
        <f t="shared" si="0"/>
        <v>0</v>
      </c>
    </row>
    <row r="14" spans="1:9" x14ac:dyDescent="0.25">
      <c r="A14" s="495" t="s">
        <v>781</v>
      </c>
      <c r="B14" s="496" t="s">
        <v>1215</v>
      </c>
      <c r="C14" s="492">
        <v>0</v>
      </c>
      <c r="D14" s="516">
        <v>0</v>
      </c>
      <c r="E14" s="492">
        <v>0</v>
      </c>
      <c r="F14" s="516">
        <v>0</v>
      </c>
      <c r="G14" s="499">
        <f t="shared" si="0"/>
        <v>0</v>
      </c>
      <c r="H14" s="139">
        <f t="shared" si="0"/>
        <v>0</v>
      </c>
    </row>
    <row r="15" spans="1:9" x14ac:dyDescent="0.25">
      <c r="A15" s="495" t="s">
        <v>783</v>
      </c>
      <c r="B15" s="496" t="s">
        <v>1216</v>
      </c>
      <c r="C15" s="492">
        <v>0</v>
      </c>
      <c r="D15" s="516">
        <v>0</v>
      </c>
      <c r="E15" s="492">
        <v>0</v>
      </c>
      <c r="F15" s="516">
        <v>0</v>
      </c>
      <c r="G15" s="499">
        <f t="shared" si="0"/>
        <v>0</v>
      </c>
      <c r="H15" s="139">
        <f t="shared" si="0"/>
        <v>0</v>
      </c>
    </row>
    <row r="16" spans="1:9" x14ac:dyDescent="0.25">
      <c r="A16" s="495" t="s">
        <v>785</v>
      </c>
      <c r="B16" s="496" t="s">
        <v>1217</v>
      </c>
      <c r="C16" s="492">
        <v>4110.37</v>
      </c>
      <c r="D16" s="516">
        <v>0</v>
      </c>
      <c r="E16" s="492">
        <v>0</v>
      </c>
      <c r="F16" s="516">
        <v>0</v>
      </c>
      <c r="G16" s="499">
        <f t="shared" si="0"/>
        <v>-4110.37</v>
      </c>
      <c r="H16" s="139">
        <f t="shared" si="0"/>
        <v>0</v>
      </c>
    </row>
    <row r="17" spans="1:9" x14ac:dyDescent="0.25">
      <c r="A17" s="495" t="s">
        <v>786</v>
      </c>
      <c r="B17" s="496" t="s">
        <v>1218</v>
      </c>
      <c r="C17" s="492">
        <v>0</v>
      </c>
      <c r="D17" s="516">
        <v>14074.55</v>
      </c>
      <c r="E17" s="492">
        <v>142882.5</v>
      </c>
      <c r="F17" s="516">
        <v>11619.63</v>
      </c>
      <c r="G17" s="499">
        <f t="shared" si="0"/>
        <v>142882.5</v>
      </c>
      <c r="H17" s="139">
        <f t="shared" si="0"/>
        <v>-2454.92</v>
      </c>
    </row>
    <row r="18" spans="1:9" x14ac:dyDescent="0.25">
      <c r="A18" s="495" t="s">
        <v>787</v>
      </c>
      <c r="B18" s="496" t="s">
        <v>1219</v>
      </c>
      <c r="C18" s="492">
        <v>0</v>
      </c>
      <c r="D18" s="516">
        <v>10596.32</v>
      </c>
      <c r="E18" s="492">
        <v>0</v>
      </c>
      <c r="F18" s="516">
        <v>7144.98</v>
      </c>
      <c r="G18" s="499">
        <f t="shared" si="0"/>
        <v>0</v>
      </c>
      <c r="H18" s="139">
        <f t="shared" si="0"/>
        <v>-3451.34</v>
      </c>
    </row>
    <row r="19" spans="1:9" x14ac:dyDescent="0.25">
      <c r="A19" s="495" t="s">
        <v>789</v>
      </c>
      <c r="B19" s="496" t="s">
        <v>1220</v>
      </c>
      <c r="C19" s="492">
        <v>0</v>
      </c>
      <c r="D19" s="516">
        <v>0</v>
      </c>
      <c r="E19" s="492">
        <v>0</v>
      </c>
      <c r="F19" s="516">
        <v>0</v>
      </c>
      <c r="G19" s="499">
        <f t="shared" si="0"/>
        <v>0</v>
      </c>
      <c r="H19" s="139">
        <f t="shared" si="0"/>
        <v>0</v>
      </c>
    </row>
    <row r="20" spans="1:9" x14ac:dyDescent="0.25">
      <c r="A20" s="495" t="s">
        <v>790</v>
      </c>
      <c r="B20" s="496" t="s">
        <v>1221</v>
      </c>
      <c r="C20" s="492">
        <v>0</v>
      </c>
      <c r="D20" s="516">
        <v>4770.1899999999996</v>
      </c>
      <c r="E20" s="492">
        <v>0</v>
      </c>
      <c r="F20" s="516">
        <v>1309.1400000000001</v>
      </c>
      <c r="G20" s="499">
        <f t="shared" si="0"/>
        <v>0</v>
      </c>
      <c r="H20" s="139">
        <f t="shared" si="0"/>
        <v>-3461.0499999999993</v>
      </c>
    </row>
    <row r="21" spans="1:9" x14ac:dyDescent="0.25">
      <c r="A21" s="495" t="s">
        <v>792</v>
      </c>
      <c r="B21" s="496" t="s">
        <v>1222</v>
      </c>
      <c r="C21" s="492">
        <v>55.86</v>
      </c>
      <c r="D21" s="516">
        <v>26.8</v>
      </c>
      <c r="E21" s="492">
        <v>191.43</v>
      </c>
      <c r="F21" s="516">
        <v>360.08</v>
      </c>
      <c r="G21" s="499">
        <f t="shared" si="0"/>
        <v>135.57</v>
      </c>
      <c r="H21" s="139">
        <f t="shared" si="0"/>
        <v>333.28</v>
      </c>
    </row>
    <row r="22" spans="1:9" x14ac:dyDescent="0.25">
      <c r="A22" s="495" t="s">
        <v>794</v>
      </c>
      <c r="B22" s="496" t="s">
        <v>1223</v>
      </c>
      <c r="C22" s="492">
        <v>9256.93</v>
      </c>
      <c r="D22" s="516">
        <v>430</v>
      </c>
      <c r="E22" s="492">
        <v>26376.2</v>
      </c>
      <c r="F22" s="516">
        <v>0</v>
      </c>
      <c r="G22" s="499">
        <f t="shared" si="0"/>
        <v>17119.27</v>
      </c>
      <c r="H22" s="139">
        <f t="shared" si="0"/>
        <v>-430</v>
      </c>
      <c r="I22" s="717"/>
    </row>
    <row r="23" spans="1:9" x14ac:dyDescent="0.25">
      <c r="A23" s="495" t="s">
        <v>796</v>
      </c>
      <c r="B23" s="496" t="s">
        <v>1224</v>
      </c>
      <c r="C23" s="492">
        <v>0</v>
      </c>
      <c r="D23" s="516">
        <v>0</v>
      </c>
      <c r="E23" s="492">
        <v>840</v>
      </c>
      <c r="F23" s="516">
        <v>0</v>
      </c>
      <c r="G23" s="499">
        <f t="shared" si="0"/>
        <v>840</v>
      </c>
      <c r="H23" s="139">
        <f t="shared" si="0"/>
        <v>0</v>
      </c>
      <c r="I23" s="718"/>
    </row>
    <row r="24" spans="1:9" x14ac:dyDescent="0.25">
      <c r="A24" s="495" t="s">
        <v>798</v>
      </c>
      <c r="B24" s="496" t="s">
        <v>1225</v>
      </c>
      <c r="C24" s="492">
        <v>0</v>
      </c>
      <c r="D24" s="516">
        <v>0</v>
      </c>
      <c r="E24" s="492">
        <v>0</v>
      </c>
      <c r="F24" s="516">
        <v>0</v>
      </c>
      <c r="G24" s="499">
        <f t="shared" si="0"/>
        <v>0</v>
      </c>
      <c r="H24" s="139">
        <f t="shared" si="0"/>
        <v>0</v>
      </c>
    </row>
    <row r="25" spans="1:9" x14ac:dyDescent="0.25">
      <c r="A25" s="495" t="s">
        <v>800</v>
      </c>
      <c r="B25" s="496" t="s">
        <v>1226</v>
      </c>
      <c r="C25" s="492">
        <v>5533177.3099999996</v>
      </c>
      <c r="D25" s="516">
        <v>1200737.52</v>
      </c>
      <c r="E25" s="492">
        <v>5920893.2699999996</v>
      </c>
      <c r="F25" s="516">
        <v>861999.78</v>
      </c>
      <c r="G25" s="499">
        <f t="shared" si="0"/>
        <v>387715.95999999996</v>
      </c>
      <c r="H25" s="139">
        <f t="shared" si="0"/>
        <v>-338737.74</v>
      </c>
    </row>
    <row r="26" spans="1:9" x14ac:dyDescent="0.25">
      <c r="A26" s="495" t="s">
        <v>802</v>
      </c>
      <c r="B26" s="496" t="s">
        <v>1227</v>
      </c>
      <c r="C26" s="492">
        <v>0</v>
      </c>
      <c r="D26" s="516">
        <v>108720.83</v>
      </c>
      <c r="E26" s="492">
        <v>0</v>
      </c>
      <c r="F26" s="516">
        <v>2746</v>
      </c>
      <c r="G26" s="499">
        <f t="shared" si="0"/>
        <v>0</v>
      </c>
      <c r="H26" s="139">
        <f t="shared" si="0"/>
        <v>-105974.83</v>
      </c>
    </row>
    <row r="27" spans="1:9" x14ac:dyDescent="0.25">
      <c r="A27" s="495" t="s">
        <v>804</v>
      </c>
      <c r="B27" s="496" t="s">
        <v>1228</v>
      </c>
      <c r="C27" s="492">
        <v>0</v>
      </c>
      <c r="D27" s="516">
        <v>0</v>
      </c>
      <c r="E27" s="492">
        <v>0</v>
      </c>
      <c r="F27" s="516">
        <v>0</v>
      </c>
      <c r="G27" s="499">
        <f t="shared" si="0"/>
        <v>0</v>
      </c>
      <c r="H27" s="139">
        <f t="shared" si="0"/>
        <v>0</v>
      </c>
    </row>
    <row r="28" spans="1:9" x14ac:dyDescent="0.25">
      <c r="A28" s="495" t="s">
        <v>806</v>
      </c>
      <c r="B28" s="496" t="s">
        <v>1229</v>
      </c>
      <c r="C28" s="492">
        <v>0</v>
      </c>
      <c r="D28" s="516">
        <v>0</v>
      </c>
      <c r="E28" s="492">
        <v>0</v>
      </c>
      <c r="F28" s="516">
        <v>0</v>
      </c>
      <c r="G28" s="499">
        <f t="shared" si="0"/>
        <v>0</v>
      </c>
      <c r="H28" s="139">
        <f t="shared" si="0"/>
        <v>0</v>
      </c>
    </row>
    <row r="29" spans="1:9" x14ac:dyDescent="0.25">
      <c r="A29" s="495" t="s">
        <v>808</v>
      </c>
      <c r="B29" s="496" t="s">
        <v>1230</v>
      </c>
      <c r="C29" s="492">
        <v>0</v>
      </c>
      <c r="D29" s="516">
        <v>0</v>
      </c>
      <c r="E29" s="492">
        <v>0</v>
      </c>
      <c r="F29" s="516">
        <v>1557</v>
      </c>
      <c r="G29" s="499">
        <f t="shared" si="0"/>
        <v>0</v>
      </c>
      <c r="H29" s="139">
        <f t="shared" si="0"/>
        <v>1557</v>
      </c>
    </row>
    <row r="30" spans="1:9" x14ac:dyDescent="0.25">
      <c r="A30" s="495" t="s">
        <v>810</v>
      </c>
      <c r="B30" s="496" t="s">
        <v>1231</v>
      </c>
      <c r="C30" s="492">
        <v>0</v>
      </c>
      <c r="D30" s="516">
        <v>0</v>
      </c>
      <c r="E30" s="492">
        <v>0</v>
      </c>
      <c r="F30" s="516">
        <v>0</v>
      </c>
      <c r="G30" s="499">
        <f t="shared" si="0"/>
        <v>0</v>
      </c>
      <c r="H30" s="139">
        <f t="shared" si="0"/>
        <v>0</v>
      </c>
    </row>
    <row r="31" spans="1:9" x14ac:dyDescent="0.25">
      <c r="A31" s="495" t="s">
        <v>812</v>
      </c>
      <c r="B31" s="496" t="s">
        <v>1232</v>
      </c>
      <c r="C31" s="492">
        <v>1267333.54</v>
      </c>
      <c r="D31" s="516">
        <v>0</v>
      </c>
      <c r="E31" s="492">
        <v>1026698.9</v>
      </c>
      <c r="F31" s="516">
        <v>908.41</v>
      </c>
      <c r="G31" s="499">
        <f t="shared" si="0"/>
        <v>-240634.64</v>
      </c>
      <c r="H31" s="139">
        <f t="shared" si="0"/>
        <v>908.41</v>
      </c>
      <c r="I31" s="717"/>
    </row>
    <row r="32" spans="1:9" x14ac:dyDescent="0.25">
      <c r="A32" s="495" t="s">
        <v>814</v>
      </c>
      <c r="B32" s="496" t="s">
        <v>1233</v>
      </c>
      <c r="C32" s="492">
        <v>0</v>
      </c>
      <c r="D32" s="516">
        <v>0</v>
      </c>
      <c r="E32" s="492">
        <v>0</v>
      </c>
      <c r="F32" s="516">
        <v>0</v>
      </c>
      <c r="G32" s="499">
        <f t="shared" si="0"/>
        <v>0</v>
      </c>
      <c r="H32" s="139">
        <f t="shared" si="0"/>
        <v>0</v>
      </c>
    </row>
    <row r="33" spans="1:10" x14ac:dyDescent="0.25">
      <c r="A33" s="495" t="s">
        <v>816</v>
      </c>
      <c r="B33" s="496" t="s">
        <v>1234</v>
      </c>
      <c r="C33" s="492">
        <v>1379.79</v>
      </c>
      <c r="D33" s="516">
        <v>1308898.43</v>
      </c>
      <c r="E33" s="492">
        <v>4343.87</v>
      </c>
      <c r="F33" s="516">
        <v>1288453.02</v>
      </c>
      <c r="G33" s="499">
        <f t="shared" si="0"/>
        <v>2964.08</v>
      </c>
      <c r="H33" s="139">
        <f t="shared" si="0"/>
        <v>-20445.409999999916</v>
      </c>
    </row>
    <row r="34" spans="1:10" x14ac:dyDescent="0.25">
      <c r="A34" s="495" t="s">
        <v>818</v>
      </c>
      <c r="B34" s="496" t="s">
        <v>1235</v>
      </c>
      <c r="C34" s="492">
        <v>0</v>
      </c>
      <c r="D34" s="516">
        <v>0</v>
      </c>
      <c r="E34" s="492">
        <v>0</v>
      </c>
      <c r="F34" s="516">
        <v>0</v>
      </c>
      <c r="G34" s="499">
        <f t="shared" si="0"/>
        <v>0</v>
      </c>
      <c r="H34" s="139">
        <f t="shared" si="0"/>
        <v>0</v>
      </c>
    </row>
    <row r="35" spans="1:10" x14ac:dyDescent="0.25">
      <c r="A35" s="495" t="s">
        <v>820</v>
      </c>
      <c r="B35" s="496" t="s">
        <v>1236</v>
      </c>
      <c r="C35" s="492">
        <v>60265.57</v>
      </c>
      <c r="D35" s="516">
        <v>0</v>
      </c>
      <c r="E35" s="492">
        <v>71231.320000000007</v>
      </c>
      <c r="F35" s="516">
        <v>0</v>
      </c>
      <c r="G35" s="499">
        <f t="shared" si="0"/>
        <v>10965.750000000007</v>
      </c>
      <c r="H35" s="139">
        <f t="shared" si="0"/>
        <v>0</v>
      </c>
    </row>
    <row r="36" spans="1:10" x14ac:dyDescent="0.25">
      <c r="A36" s="495" t="s">
        <v>822</v>
      </c>
      <c r="B36" s="496" t="s">
        <v>1237</v>
      </c>
      <c r="C36" s="492">
        <v>0</v>
      </c>
      <c r="D36" s="516">
        <v>0</v>
      </c>
      <c r="E36" s="492">
        <v>0</v>
      </c>
      <c r="F36" s="516">
        <v>0</v>
      </c>
      <c r="G36" s="499">
        <f t="shared" si="0"/>
        <v>0</v>
      </c>
      <c r="H36" s="139">
        <f t="shared" si="0"/>
        <v>0</v>
      </c>
    </row>
    <row r="37" spans="1:10" x14ac:dyDescent="0.25">
      <c r="A37" s="495" t="s">
        <v>824</v>
      </c>
      <c r="B37" s="496" t="s">
        <v>1238</v>
      </c>
      <c r="C37" s="492">
        <v>0</v>
      </c>
      <c r="D37" s="516">
        <v>0</v>
      </c>
      <c r="E37" s="492">
        <v>0</v>
      </c>
      <c r="F37" s="516">
        <v>0</v>
      </c>
      <c r="G37" s="499">
        <f t="shared" si="0"/>
        <v>0</v>
      </c>
      <c r="H37" s="139">
        <f t="shared" si="0"/>
        <v>0</v>
      </c>
    </row>
    <row r="38" spans="1:10" x14ac:dyDescent="0.25">
      <c r="A38" s="495" t="s">
        <v>826</v>
      </c>
      <c r="B38" s="496" t="s">
        <v>1239</v>
      </c>
      <c r="C38" s="492">
        <v>0</v>
      </c>
      <c r="D38" s="516">
        <v>0</v>
      </c>
      <c r="E38" s="492"/>
      <c r="F38" s="516">
        <v>0</v>
      </c>
      <c r="G38" s="499">
        <f t="shared" si="0"/>
        <v>0</v>
      </c>
      <c r="H38" s="139">
        <f t="shared" si="0"/>
        <v>0</v>
      </c>
    </row>
    <row r="39" spans="1:10" x14ac:dyDescent="0.25">
      <c r="A39" s="495" t="s">
        <v>828</v>
      </c>
      <c r="B39" s="496" t="s">
        <v>1240</v>
      </c>
      <c r="C39" s="492">
        <v>0</v>
      </c>
      <c r="D39" s="516">
        <v>0</v>
      </c>
      <c r="E39" s="492">
        <v>0</v>
      </c>
      <c r="F39" s="516">
        <v>0</v>
      </c>
      <c r="G39" s="499">
        <f t="shared" si="0"/>
        <v>0</v>
      </c>
      <c r="H39" s="139">
        <f t="shared" si="0"/>
        <v>0</v>
      </c>
    </row>
    <row r="40" spans="1:10" ht="16.5" thickBot="1" x14ac:dyDescent="0.3">
      <c r="A40" s="501" t="s">
        <v>830</v>
      </c>
      <c r="B40" s="502" t="s">
        <v>1241</v>
      </c>
      <c r="C40" s="503">
        <v>75640584.930000007</v>
      </c>
      <c r="D40" s="516">
        <v>0</v>
      </c>
      <c r="E40" s="503">
        <v>78248784.390000001</v>
      </c>
      <c r="F40" s="517">
        <v>0</v>
      </c>
      <c r="G40" s="504">
        <f t="shared" si="0"/>
        <v>2608199.4599999934</v>
      </c>
      <c r="H40" s="505">
        <f t="shared" si="0"/>
        <v>0</v>
      </c>
    </row>
    <row r="41" spans="1:10" ht="16.5" thickBot="1" x14ac:dyDescent="0.3">
      <c r="A41" s="510" t="s">
        <v>832</v>
      </c>
      <c r="B41" s="511" t="s">
        <v>1242</v>
      </c>
      <c r="C41" s="512">
        <f>SUM(C6:C40)</f>
        <v>87430587.430000007</v>
      </c>
      <c r="D41" s="518">
        <f>SUM(D6:D40)</f>
        <v>7644686.4000000004</v>
      </c>
      <c r="E41" s="512">
        <f>SUM(E6:E40)</f>
        <v>90450180.269999996</v>
      </c>
      <c r="F41" s="518">
        <f>SUM(F6:F40)</f>
        <v>7589992.6600000001</v>
      </c>
      <c r="G41" s="513">
        <f t="shared" si="0"/>
        <v>3019592.8399999887</v>
      </c>
      <c r="H41" s="514">
        <f t="shared" si="0"/>
        <v>-54693.740000000224</v>
      </c>
    </row>
    <row r="42" spans="1:10" ht="16.5" thickBot="1" x14ac:dyDescent="0.3">
      <c r="A42" s="510" t="s">
        <v>834</v>
      </c>
      <c r="B42" s="511" t="s">
        <v>1243</v>
      </c>
      <c r="C42" s="512">
        <f>C41-'T5a - Náklady-pôv '!C43</f>
        <v>-724135</v>
      </c>
      <c r="D42" s="519">
        <f>D41-'T5a - Náklady-pôv '!D43</f>
        <v>1764116.7100000009</v>
      </c>
      <c r="E42" s="512">
        <f>E41-'T5a - Náklady-pôv '!E43</f>
        <v>-789659.58999998868</v>
      </c>
      <c r="F42" s="519">
        <f>F41-'T5a - Náklady-pôv '!F43</f>
        <v>1155514.3099999996</v>
      </c>
      <c r="G42" s="513">
        <f t="shared" si="0"/>
        <v>-65524.589999988675</v>
      </c>
      <c r="H42" s="514">
        <f t="shared" si="0"/>
        <v>-608602.4000000013</v>
      </c>
    </row>
    <row r="43" spans="1:10" x14ac:dyDescent="0.25">
      <c r="A43" s="506" t="s">
        <v>836</v>
      </c>
      <c r="B43" s="507" t="s">
        <v>1244</v>
      </c>
      <c r="C43" s="515">
        <v>0</v>
      </c>
      <c r="D43" s="716">
        <v>276081.18</v>
      </c>
      <c r="E43" s="515">
        <v>0</v>
      </c>
      <c r="F43" s="716">
        <v>276061.18</v>
      </c>
      <c r="G43" s="508">
        <f t="shared" si="0"/>
        <v>0</v>
      </c>
      <c r="H43" s="509">
        <f t="shared" si="0"/>
        <v>-20</v>
      </c>
    </row>
    <row r="44" spans="1:10" x14ac:dyDescent="0.25">
      <c r="A44" s="495" t="s">
        <v>838</v>
      </c>
      <c r="B44" s="496" t="s">
        <v>1245</v>
      </c>
      <c r="C44" s="492">
        <v>0</v>
      </c>
      <c r="D44" s="516">
        <v>0</v>
      </c>
      <c r="E44" s="492">
        <v>0</v>
      </c>
      <c r="F44" s="516">
        <v>0</v>
      </c>
      <c r="G44" s="499">
        <f t="shared" si="0"/>
        <v>0</v>
      </c>
      <c r="H44" s="139">
        <f t="shared" si="0"/>
        <v>0</v>
      </c>
    </row>
    <row r="45" spans="1:10" ht="16.5" thickBot="1" x14ac:dyDescent="0.3">
      <c r="A45" s="497" t="s">
        <v>840</v>
      </c>
      <c r="B45" s="498" t="s">
        <v>1246</v>
      </c>
      <c r="C45" s="493">
        <f>C42-C43-C44</f>
        <v>-724135</v>
      </c>
      <c r="D45" s="520">
        <f>D42-D43-D44</f>
        <v>1488035.530000001</v>
      </c>
      <c r="E45" s="493">
        <f>E42-E43-E44</f>
        <v>-789659.58999998868</v>
      </c>
      <c r="F45" s="520">
        <f>F42-F43-F44</f>
        <v>879453.12999999966</v>
      </c>
      <c r="G45" s="500">
        <f t="shared" si="0"/>
        <v>-65524.589999988675</v>
      </c>
      <c r="H45" s="141">
        <f t="shared" si="0"/>
        <v>-608582.4000000013</v>
      </c>
    </row>
    <row r="46" spans="1:10" x14ac:dyDescent="0.25">
      <c r="F46" s="720" t="s">
        <v>1482</v>
      </c>
      <c r="I46" s="133"/>
      <c r="J46" s="133"/>
    </row>
    <row r="47" spans="1:10" x14ac:dyDescent="0.25">
      <c r="D47" s="744">
        <f>C41+D41</f>
        <v>95075273.830000013</v>
      </c>
      <c r="E47" s="744"/>
      <c r="F47" s="744">
        <f>E41+F41</f>
        <v>98040172.929999992</v>
      </c>
      <c r="G47" s="719">
        <f>SUM(E45:F45)</f>
        <v>89793.54000001098</v>
      </c>
      <c r="H47" s="133" t="s">
        <v>1483</v>
      </c>
    </row>
  </sheetData>
  <mergeCells count="7">
    <mergeCell ref="A1:H1"/>
    <mergeCell ref="A2:H2"/>
    <mergeCell ref="A3:A4"/>
    <mergeCell ref="B3:B4"/>
    <mergeCell ref="C3:D3"/>
    <mergeCell ref="E3:F3"/>
    <mergeCell ref="G3:H3"/>
  </mergeCells>
  <printOptions gridLines="1"/>
  <pageMargins left="0.51181102362204722" right="0.31496062992125984" top="0.43307086614173229" bottom="0.48" header="0.39370078740157483" footer="0.23622047244094491"/>
  <pageSetup paperSize="9" scale="70" fitToWidth="2"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478802F3-CAF1-414B-986B-3ACC0176C017}">
  <ds:schemaRefs>
    <ds:schemaRef ds:uri="http://purl.org/dc/term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34</vt:i4>
      </vt:variant>
      <vt:variant>
        <vt:lpstr>Pomenované rozsahy</vt:lpstr>
      </vt:variant>
      <vt:variant>
        <vt:i4>27</vt:i4>
      </vt:variant>
    </vt:vector>
  </HeadingPairs>
  <TitlesOfParts>
    <vt:vector size="61" baseType="lpstr">
      <vt:lpstr>Obsah</vt:lpstr>
      <vt:lpstr>zmeny</vt:lpstr>
      <vt:lpstr>Vysvetlivky</vt:lpstr>
      <vt:lpstr>Súvzťažnosti</vt:lpstr>
      <vt:lpstr>Kódy z CRŠ</vt:lpstr>
      <vt:lpstr>T1-Dotácie podľa DZ</vt:lpstr>
      <vt:lpstr>T2-Ostatné dot mimo MŠ SR</vt:lpstr>
      <vt:lpstr>T3-Výnosy</vt:lpstr>
      <vt:lpstr>T3a-Výnosy-pôv</vt:lpstr>
      <vt:lpstr>T4-Výnosy zo školného</vt:lpstr>
      <vt:lpstr>T5 - Analýza nákladov</vt:lpstr>
      <vt:lpstr>T5a - Náklady-pôv </vt:lpstr>
      <vt:lpstr>T6-Zamestnanci_a_mzdy</vt:lpstr>
      <vt:lpstr>T6a-Zamestnanci_a_mzdy (ženy)</vt:lpstr>
      <vt:lpstr>T7_Doktorandi </vt:lpstr>
      <vt:lpstr>T8-Soc_štipendiá</vt:lpstr>
      <vt:lpstr>T9_ŠD </vt:lpstr>
      <vt:lpstr>T10-ŠJ</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T24a_Aktíva_1</vt:lpstr>
      <vt:lpstr>T24b_Aktíva_2</vt:lpstr>
      <vt:lpstr>T25_Pasíva </vt:lpstr>
      <vt:lpstr>T24__Aktíva</vt:lpstr>
      <vt:lpstr>Hárok1</vt:lpstr>
      <vt:lpstr>Súvzťažnosti!Oblasť_tlače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T24a_Aktíva_1!Oblasť_tlače</vt:lpstr>
      <vt:lpstr>T24b_Aktíva_2!Oblasť_tlače</vt:lpstr>
      <vt:lpstr>'T25_Pasíva '!Oblasť_tlače</vt:lpstr>
      <vt:lpstr>'T3a-Výnosy-pôv'!Oblasť_tlače</vt:lpstr>
      <vt:lpstr>'T3-Výnosy'!Oblasť_tlače</vt:lpstr>
      <vt:lpstr>'T4-Výnosy zo školného'!Oblasť_tlače</vt:lpstr>
      <vt:lpstr>'T5 - Analýza nákladov'!Oblasť_tlače</vt:lpstr>
      <vt:lpstr>'T5a - Náklady-pôv '!Oblasť_tlače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Admin</cp:lastModifiedBy>
  <cp:lastPrinted>2016-04-21T08:02:50Z</cp:lastPrinted>
  <dcterms:created xsi:type="dcterms:W3CDTF">2002-06-05T18:53:25Z</dcterms:created>
  <dcterms:modified xsi:type="dcterms:W3CDTF">2016-06-13T13:28:54Z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