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5440" windowHeight="12330" tabRatio="896" firstSheet="16" activeTab="26"/>
  </bookViews>
  <sheets>
    <sheet name="Obsah" sheetId="127" r:id="rId1"/>
    <sheet name="zmeny" sheetId="129" r:id="rId2"/>
    <sheet name="Vysvetlivky" sheetId="115" r:id="rId3"/>
    <sheet name="Súvzťažnosti" sheetId="82" r:id="rId4"/>
    <sheet name="Kódy z CRŠ" sheetId="152" r:id="rId5"/>
    <sheet name="T1-Dotácie podľa DZ" sheetId="158"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sheetId="159" r:id="rId13"/>
    <sheet name="T8-Soc_štipendiá" sheetId="160" r:id="rId14"/>
    <sheet name="T9_ŠD " sheetId="116" r:id="rId15"/>
    <sheet name="T10-ŠJ " sheetId="146" r:id="rId16"/>
    <sheet name="T11-Zdroje KV" sheetId="90" r:id="rId17"/>
    <sheet name="T12-KV" sheetId="91" r:id="rId18"/>
    <sheet name="T13-Fondy" sheetId="163" r:id="rId19"/>
    <sheet name="T16 - Štruktúra hotovosti" sheetId="64" r:id="rId20"/>
    <sheet name="T17-Dotácie zo ŠF EU" sheetId="149" r:id="rId21"/>
    <sheet name="T18-Ostatné dotacie z kap M" sheetId="161" r:id="rId22"/>
    <sheet name="T19-Štip_ z vlastných " sheetId="144" r:id="rId23"/>
    <sheet name="T20_motivačné štipendiá_nov" sheetId="162" r:id="rId24"/>
    <sheet name="T21-štruktúra_384" sheetId="164" r:id="rId25"/>
    <sheet name="T22_Výnosy_soc_oblasť" sheetId="165" r:id="rId26"/>
    <sheet name="T23_Náklady_soc_oblasť" sheetId="166" r:id="rId27"/>
    <sheet name="T24__Aktíva" sheetId="135" state="hidden" r:id="rId28"/>
  </sheets>
  <externalReferences>
    <externalReference r:id="rId29"/>
    <externalReference r:id="rId30"/>
    <externalReference r:id="rId31"/>
  </externalReferences>
  <definedNames>
    <definedName name="_kmp1" localSheetId="18">#REF!</definedName>
    <definedName name="_kmp1" localSheetId="21">#REF!</definedName>
    <definedName name="_kmp1" localSheetId="5">#REF!</definedName>
    <definedName name="_kmp1" localSheetId="23">#REF!</definedName>
    <definedName name="_kmp1" localSheetId="24">#REF!</definedName>
    <definedName name="_kmp1" localSheetId="25">#REF!</definedName>
    <definedName name="_kmp1" localSheetId="26">#REF!</definedName>
    <definedName name="_kmp1" localSheetId="9">#REF!</definedName>
    <definedName name="_kmp1" localSheetId="12">#REF!</definedName>
    <definedName name="_kmp1" localSheetId="13">#REF!</definedName>
    <definedName name="_kmp2" localSheetId="18">#REF!</definedName>
    <definedName name="_kmp2" localSheetId="21">#REF!</definedName>
    <definedName name="_kmp2" localSheetId="5">#REF!</definedName>
    <definedName name="_kmp2" localSheetId="23">#REF!</definedName>
    <definedName name="_kmp2" localSheetId="24">#REF!</definedName>
    <definedName name="_kmp2" localSheetId="25">#REF!</definedName>
    <definedName name="_kmp2" localSheetId="26">#REF!</definedName>
    <definedName name="_kmp2" localSheetId="12">#REF!</definedName>
    <definedName name="_kmp2" localSheetId="13">#REF!</definedName>
    <definedName name="_kmt1" localSheetId="9">#REF!</definedName>
    <definedName name="_kmt1">#REF!</definedName>
    <definedName name="_T1">#REF!</definedName>
    <definedName name="_wd1" localSheetId="23">[1]vahy!$B$1</definedName>
    <definedName name="_wd3" localSheetId="23">[1]vahy!$B$3</definedName>
    <definedName name="_we1" localSheetId="23">[1]vahy!$B$2</definedName>
    <definedName name="_we3" localSheetId="23">[1]vahy!$B$4</definedName>
    <definedName name="aaa" hidden="1">3</definedName>
    <definedName name="denní" localSheetId="9">#REF!</definedName>
    <definedName name="denní">#REF!</definedName>
    <definedName name="dokpo" localSheetId="9">#REF!</definedName>
    <definedName name="dokpo">#REF!</definedName>
    <definedName name="dokpred" localSheetId="9">#REF!</definedName>
    <definedName name="dokpred">#REF!</definedName>
    <definedName name="druhý" localSheetId="9">#REF!</definedName>
    <definedName name="druhý">#REF!</definedName>
    <definedName name="exterdruhý" localSheetId="9">#REF!</definedName>
    <definedName name="exterdruhý">#REF!</definedName>
    <definedName name="externeplat" localSheetId="9">#REF!</definedName>
    <definedName name="externeplat">#REF!</definedName>
    <definedName name="exterplat" localSheetId="9">#REF!</definedName>
    <definedName name="exterplat">#REF!</definedName>
    <definedName name="KKS_doc" localSheetId="9">#REF!</definedName>
    <definedName name="KKS_doc">#REF!</definedName>
    <definedName name="KKS_ost" localSheetId="9">#REF!</definedName>
    <definedName name="KKS_ost">#REF!</definedName>
    <definedName name="KKS_phd" localSheetId="9">#REF!</definedName>
    <definedName name="KKS_phd">#REF!</definedName>
    <definedName name="KKS_prof" localSheetId="9">#REF!</definedName>
    <definedName name="KKS_prof">#REF!</definedName>
    <definedName name="koef_gm_mzdy" localSheetId="9">#REF!</definedName>
    <definedName name="koef_gm_mzdy">#REF!</definedName>
    <definedName name="koef_kpn" localSheetId="9">#REF!</definedName>
    <definedName name="koef_kpn">#REF!</definedName>
    <definedName name="koef_prer_nad_gm_mzdy" localSheetId="9">#REF!</definedName>
    <definedName name="koef_prer_nad_gm_mzdy">#REF!</definedName>
    <definedName name="koef_PV" localSheetId="9">#REF!</definedName>
    <definedName name="koef_PV">#REF!</definedName>
    <definedName name="koef_udr_kat1" localSheetId="20">#REF!</definedName>
    <definedName name="koef_udr_kat1" localSheetId="9">#REF!</definedName>
    <definedName name="koef_udr_kat1" localSheetId="11">#REF!</definedName>
    <definedName name="koef_udr_kat1">#REF!</definedName>
    <definedName name="koef_udr_kat2" localSheetId="20">#REF!</definedName>
    <definedName name="koef_udr_kat2" localSheetId="9">#REF!</definedName>
    <definedName name="koef_udr_kat2" localSheetId="11">#REF!</definedName>
    <definedName name="koef_udr_kat2">#REF!</definedName>
    <definedName name="koef_udr_kat3" localSheetId="20">#REF!</definedName>
    <definedName name="koef_udr_kat3" localSheetId="9">#REF!</definedName>
    <definedName name="koef_udr_kat3" localSheetId="11">#REF!</definedName>
    <definedName name="koef_udr_kat3">#REF!</definedName>
    <definedName name="koef_VV" localSheetId="9">#REF!</definedName>
    <definedName name="koef_VV">#REF!</definedName>
    <definedName name="kpn_ca_do" localSheetId="9">#REF!</definedName>
    <definedName name="kpn_ca_do">#REF!</definedName>
    <definedName name="kpn_ca_nad" localSheetId="9">#REF!</definedName>
    <definedName name="kpn_ca_nad">#REF!</definedName>
    <definedName name="kzk" localSheetId="9">#REF!</definedName>
    <definedName name="kzk">#REF!</definedName>
    <definedName name="kzspp" localSheetId="9">#REF!</definedName>
    <definedName name="kzspp">#REF!</definedName>
    <definedName name="mot">#REF!</definedName>
    <definedName name="nefinanc">1</definedName>
    <definedName name="_xlnm.Print_Area" localSheetId="0">Obsah!$A$1:$Q$26</definedName>
    <definedName name="_xlnm.Print_Area" localSheetId="3">Súvzťažnosti!$A$1:$C$40</definedName>
    <definedName name="_xlnm.Print_Area" localSheetId="15">'T10-ŠJ '!$A$1:$D$26</definedName>
    <definedName name="_xlnm.Print_Area" localSheetId="16">'T11-Zdroje KV'!$A$1:$D$23</definedName>
    <definedName name="_xlnm.Print_Area" localSheetId="17">'T12-KV'!$A$1:$I$22</definedName>
    <definedName name="_xlnm.Print_Area" localSheetId="18">'T13-Fondy'!$A$1:$N$35</definedName>
    <definedName name="_xlnm.Print_Area" localSheetId="19">'T16 - Štruktúra hotovosti'!$A$1:$D$22</definedName>
    <definedName name="_xlnm.Print_Area" localSheetId="20">'T17-Dotácie zo ŠF EU'!$A$1:$H$16</definedName>
    <definedName name="_xlnm.Print_Area" localSheetId="21">'T18-Ostatné dotacie z kap M'!$A$1:$E$18</definedName>
    <definedName name="_xlnm.Print_Area" localSheetId="22">'T19-Štip_ z vlastných '!$A$1:$F$26</definedName>
    <definedName name="_xlnm.Print_Area" localSheetId="5">'T1-Dotácie podľa DZ'!$A$1:$E$19</definedName>
    <definedName name="_xlnm.Print_Area" localSheetId="23">'T20_motivačné štipendiá_nov'!$A$1:$F$14</definedName>
    <definedName name="_xlnm.Print_Area" localSheetId="24">'T21-štruktúra_384'!$A$1:$M$15</definedName>
    <definedName name="_xlnm.Print_Area" localSheetId="25">T22_Výnosy_soc_oblasť!$A$1:$I$44</definedName>
    <definedName name="_xlnm.Print_Area" localSheetId="26">T23_Náklady_soc_oblasť!$A$1:$H$42</definedName>
    <definedName name="_xlnm.Print_Area" localSheetId="7">'T3-Výnosy'!$A$1:$H$72</definedName>
    <definedName name="_xlnm.Print_Area" localSheetId="8">'T4-Výnosy zo školného'!$A$1:$E$23</definedName>
    <definedName name="_xlnm.Print_Area" localSheetId="9">'T5 - Analýza nákladov'!$A$1:$H$105</definedName>
    <definedName name="_xlnm.Print_Area" localSheetId="11">'T6a-Zamestnanci_a_mzdy (ženy)'!$A$1:$L$37</definedName>
    <definedName name="_xlnm.Print_Area" localSheetId="10">'T6-Zamestnanci_a_mzdy'!$A$1:$K$37</definedName>
    <definedName name="_xlnm.Print_Area" localSheetId="12">T7_Doktorandi!$A$1:$G$21</definedName>
    <definedName name="_xlnm.Print_Area" localSheetId="13">'T8-Soc_štipendiá'!$A$1:$F$15</definedName>
    <definedName name="_xlnm.Print_Area" localSheetId="14">'T9_ŠD '!$A$1:$F$21</definedName>
    <definedName name="_xlnm.Print_Area" localSheetId="2">Vysvetlivky!$A$1:$B$91</definedName>
    <definedName name="pocet_jedal" localSheetId="20">#REF!</definedName>
    <definedName name="pocet_jedal" localSheetId="9">#REF!</definedName>
    <definedName name="pocet_jedal" localSheetId="11">#REF!</definedName>
    <definedName name="pocet_jedal">#REF!</definedName>
    <definedName name="podiel" localSheetId="9">#REF!</definedName>
    <definedName name="podiel">#REF!</definedName>
    <definedName name="poistné" localSheetId="9">#REF!</definedName>
    <definedName name="poistné">#REF!</definedName>
    <definedName name="Pp_DrŠ_exist" localSheetId="20">#REF!</definedName>
    <definedName name="Pp_DrŠ_exist" localSheetId="9">#REF!</definedName>
    <definedName name="Pp_DrŠ_exist" localSheetId="11">#REF!</definedName>
    <definedName name="Pp_DrŠ_exist">#REF!</definedName>
    <definedName name="Pp_DrŠ_noví" localSheetId="20">#REF!</definedName>
    <definedName name="Pp_DrŠ_noví" localSheetId="9">#REF!</definedName>
    <definedName name="Pp_DrŠ_noví" localSheetId="11">#REF!</definedName>
    <definedName name="Pp_DrŠ_noví">#REF!</definedName>
    <definedName name="Pp_DrŠ_spolu" localSheetId="20">#REF!</definedName>
    <definedName name="Pp_DrŠ_spolu" localSheetId="9">#REF!</definedName>
    <definedName name="Pp_DrŠ_spolu" localSheetId="11">#REF!</definedName>
    <definedName name="Pp_DrŠ_spolu">#REF!</definedName>
    <definedName name="Pp_klinické_TaS" localSheetId="20">#REF!</definedName>
    <definedName name="Pp_klinické_TaS" localSheetId="9">#REF!</definedName>
    <definedName name="Pp_klinické_TaS" localSheetId="11">#REF!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#REF!</definedName>
    <definedName name="Pp_Rozvoj_BD" localSheetId="9">#REF!</definedName>
    <definedName name="Pp_Rozvoj_BD">#REF!</definedName>
    <definedName name="Pp_Soc_BD" localSheetId="9">#REF!</definedName>
    <definedName name="Pp_Soc_BD">#REF!</definedName>
    <definedName name="Pp_VaT_BD" localSheetId="9">#REF!</definedName>
    <definedName name="Pp_VaT_BD">#REF!</definedName>
    <definedName name="Pp_VaT_mzdy" localSheetId="9">#REF!</definedName>
    <definedName name="Pp_VaT_mzdy">#REF!</definedName>
    <definedName name="Pp_VaT_mzdy_rezerva" localSheetId="9">#REF!</definedName>
    <definedName name="Pp_VaT_mzdy_rezerva">#REF!</definedName>
    <definedName name="Pp_VaT_mzdy_zac_roka" localSheetId="9">#REF!</definedName>
    <definedName name="Pp_VaT_mzdy_zac_roka">#REF!</definedName>
    <definedName name="Pp_Vzdel_BD" localSheetId="9">#REF!</definedName>
    <definedName name="Pp_Vzdel_BD">#REF!</definedName>
    <definedName name="Pp_Vzdel_mzdy" localSheetId="9">#REF!</definedName>
    <definedName name="Pp_Vzdel_mzdy">#REF!</definedName>
    <definedName name="Pp_Vzdel_mzdy_kontr" localSheetId="9">#REF!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#REF!</definedName>
    <definedName name="Pp_Vzdel_mzdy_prevádz" localSheetId="9">#REF!</definedName>
    <definedName name="Pp_Vzdel_mzdy_prevádz">#REF!</definedName>
    <definedName name="Pp_Vzdel_mzdy_rezerva" localSheetId="9">#REF!</definedName>
    <definedName name="Pp_Vzdel_mzdy_rezerva">#REF!</definedName>
    <definedName name="Pp_Vzdel_mzdy_spec" localSheetId="9">#REF!</definedName>
    <definedName name="Pp_Vzdel_mzdy_spec">#REF!</definedName>
    <definedName name="Pp_Vzdel_mzdy_výkon" localSheetId="9">#REF!</definedName>
    <definedName name="Pp_Vzdel_mzdy_výkon">#REF!</definedName>
    <definedName name="Pp_Vzdel_mzdy_výkon_PV" localSheetId="9">#REF!</definedName>
    <definedName name="Pp_Vzdel_mzdy_výkon_PV">#REF!</definedName>
    <definedName name="Pp_Vzdel_mzdy_výkon_PV_bez" localSheetId="9">#REF!</definedName>
    <definedName name="Pp_Vzdel_mzdy_výkon_PV_bez">#REF!</definedName>
    <definedName name="Pp_Vzdel_mzdy_výkon_PV_um" localSheetId="9">#REF!</definedName>
    <definedName name="Pp_Vzdel_mzdy_výkon_PV_um">#REF!</definedName>
    <definedName name="Pp_Vzdel_mzdy_výkon_VV" localSheetId="9">#REF!</definedName>
    <definedName name="Pp_Vzdel_mzdy_výkon_VV">#REF!</definedName>
    <definedName name="Pp_Vzdel_mzdy_výkon_VV_bez" localSheetId="9">#REF!</definedName>
    <definedName name="Pp_Vzdel_mzdy_výkon_VV_bez">#REF!</definedName>
    <definedName name="Pp_Vzdel_mzdy_výkon_VV_um" localSheetId="9">#REF!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#REF!</definedName>
    <definedName name="Pp_Vzdel_TaS" localSheetId="9">#REF!</definedName>
    <definedName name="Pp_Vzdel_TaS">#REF!</definedName>
    <definedName name="Pp_Vzdel_TaS_rezerva" localSheetId="9">#REF!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#REF!</definedName>
    <definedName name="Pp_Vzdel_TaS_stav" localSheetId="9">#REF!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#REF!</definedName>
    <definedName name="Pp_Vzdel_TaS_zahr_granty" localSheetId="9">#REF!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#REF!</definedName>
    <definedName name="Pr_AV_BD" localSheetId="9">#REF!</definedName>
    <definedName name="Pr_AV_BD">#REF!</definedName>
    <definedName name="Pr_IV_BD" localSheetId="9">#REF!</definedName>
    <definedName name="Pr_IV_BD">#REF!</definedName>
    <definedName name="Pr_IV_KV" localSheetId="9">#REF!</definedName>
    <definedName name="Pr_IV_KV">#REF!</definedName>
    <definedName name="Pr_IV_KV_rezerva" localSheetId="9">#REF!</definedName>
    <definedName name="Pr_IV_KV_rezerva">#REF!</definedName>
    <definedName name="Pr_KEGA_BD" localSheetId="9">#REF!</definedName>
    <definedName name="Pr_KEGA_BD">#REF!</definedName>
    <definedName name="Pr_klinické" localSheetId="9">#REF!</definedName>
    <definedName name="Pr_klinické">#REF!</definedName>
    <definedName name="Pr_KŠ" localSheetId="20">#REF!</definedName>
    <definedName name="Pr_KŠ" localSheetId="9">#REF!</definedName>
    <definedName name="Pr_KŠ" localSheetId="11">#REF!</definedName>
    <definedName name="Pr_KŠ">#REF!</definedName>
    <definedName name="Pr_motštip_BD" localSheetId="9">#REF!</definedName>
    <definedName name="Pr_motštip_BD">#REF!</definedName>
    <definedName name="Pr_MVTS_BD" localSheetId="9">#REF!</definedName>
    <definedName name="Pr_MVTS_BD">#REF!</definedName>
    <definedName name="Pr_socštip_BD" localSheetId="9">#REF!</definedName>
    <definedName name="Pr_socštip_BD">#REF!</definedName>
    <definedName name="Pr_ŠD" localSheetId="20">#REF!</definedName>
    <definedName name="Pr_ŠD" localSheetId="9">#REF!</definedName>
    <definedName name="Pr_ŠD" localSheetId="11">#REF!</definedName>
    <definedName name="Pr_ŠD">#REF!</definedName>
    <definedName name="Pr_ŠDaJKŠPC_BD" localSheetId="9">#REF!</definedName>
    <definedName name="Pr_ŠDaJKŠPC_BD">#REF!</definedName>
    <definedName name="Pr_VaT_KV_zac_roka" localSheetId="9">#REF!</definedName>
    <definedName name="Pr_VaT_KV_zac_roka">#REF!</definedName>
    <definedName name="Pr_VaT_TaS" localSheetId="9">#REF!</definedName>
    <definedName name="Pr_VaT_TaS">#REF!</definedName>
    <definedName name="Pr_VaT_TaS_rezerva" localSheetId="9">#REF!</definedName>
    <definedName name="Pr_VaT_TaS_rezerva">#REF!</definedName>
    <definedName name="Pr_VaT_TaS_zac_roka" localSheetId="9">#REF!</definedName>
    <definedName name="Pr_VaT_TaS_zac_roka">#REF!</definedName>
    <definedName name="Pr_VEGA_BD" localSheetId="9">#REF!</definedName>
    <definedName name="Pr_VEGA_BD">#REF!</definedName>
    <definedName name="predmety" localSheetId="9">#REF!</definedName>
    <definedName name="predmety">#REF!</definedName>
    <definedName name="prisp_na_1_jedlo" localSheetId="20">#REF!</definedName>
    <definedName name="prisp_na_1_jedlo" localSheetId="9">#REF!</definedName>
    <definedName name="prisp_na_1_jedlo" localSheetId="11">#REF!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#REF!</definedName>
    <definedName name="prísp_zákl_prev" localSheetId="9">#REF!</definedName>
    <definedName name="prísp_zákl_prev">#REF!</definedName>
    <definedName name="R_vvs" localSheetId="9">#REF!</definedName>
    <definedName name="R_vvs">#REF!</definedName>
    <definedName name="R_vvs_BD" localSheetId="9">#REF!</definedName>
    <definedName name="R_vvs_BD">#REF!</definedName>
    <definedName name="R_vvs_VaT_BD" localSheetId="9">#REF!</definedName>
    <definedName name="R_vvs_VaT_BD">#REF!</definedName>
    <definedName name="Sanet" localSheetId="9">#REF!</definedName>
    <definedName name="Sanet">#REF!</definedName>
    <definedName name="SAPBEXrevision" hidden="1">7</definedName>
    <definedName name="SAPBEXsysID" hidden="1">"BS1"</definedName>
    <definedName name="SAPBEXwbID" hidden="1">"3TG3S316PX9BHXMQEBSXSYZZO"</definedName>
    <definedName name="stavba_ucelova" localSheetId="9">#REF!</definedName>
    <definedName name="stavba_ucelova">#REF!</definedName>
    <definedName name="studenti_vstup" localSheetId="9">#REF!</definedName>
    <definedName name="studenti_vstup">#REF!</definedName>
    <definedName name="sustava" localSheetId="9">#REF!</definedName>
    <definedName name="sustava">#REF!</definedName>
    <definedName name="T_1">#REF!</definedName>
    <definedName name="T_25_so_štip_2007">#REF!</definedName>
    <definedName name="T_M">#REF!</definedName>
    <definedName name="tab">#REF!</definedName>
    <definedName name="váha_absDrš" localSheetId="9">#REF!</definedName>
    <definedName name="váha_absDrš">#REF!</definedName>
    <definedName name="váha_DG" localSheetId="9">#REF!</definedName>
    <definedName name="váha_DG">#REF!</definedName>
    <definedName name="váha_poDs" localSheetId="9">#REF!</definedName>
    <definedName name="váha_poDs">#REF!</definedName>
    <definedName name="váha_Pub" localSheetId="9">#REF!</definedName>
    <definedName name="váha_Pub">#REF!</definedName>
    <definedName name="váha_ZG" localSheetId="9">#REF!</definedName>
    <definedName name="váha_ZG">#REF!</definedName>
    <definedName name="výkon_um" localSheetId="9">#REF!</definedName>
    <definedName name="výkon_um">#REF!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#REF!</definedName>
    <definedName name="záloha" localSheetId="20">#REF!</definedName>
    <definedName name="záloha" localSheetId="9">#REF!</definedName>
    <definedName name="záloha" localSheetId="11">#REF!</definedName>
    <definedName name="záloha">#REF!</definedName>
  </definedNames>
  <calcPr calcId="162913"/>
</workbook>
</file>

<file path=xl/calcChain.xml><?xml version="1.0" encoding="utf-8"?>
<calcChain xmlns="http://schemas.openxmlformats.org/spreadsheetml/2006/main">
  <c r="D9" i="162" l="1"/>
  <c r="C9" i="162"/>
  <c r="E8" i="144" l="1"/>
  <c r="C13" i="161" l="1"/>
  <c r="C12" i="161"/>
  <c r="I7" i="164" l="1"/>
  <c r="H7" i="164"/>
  <c r="E40" i="165" l="1"/>
  <c r="D40" i="165"/>
  <c r="E18" i="91"/>
  <c r="C18" i="91"/>
  <c r="F43" i="165"/>
  <c r="F42" i="165"/>
  <c r="F39" i="165"/>
  <c r="F38" i="165"/>
  <c r="F37" i="165"/>
  <c r="F36" i="165"/>
  <c r="F35" i="165"/>
  <c r="F34" i="165"/>
  <c r="F33" i="165"/>
  <c r="F32" i="165"/>
  <c r="F31" i="165"/>
  <c r="F30" i="165"/>
  <c r="F29" i="165"/>
  <c r="F28" i="165"/>
  <c r="F27" i="165"/>
  <c r="F26" i="165"/>
  <c r="F25" i="165"/>
  <c r="F24" i="165"/>
  <c r="F23" i="165"/>
  <c r="F22" i="165"/>
  <c r="F21" i="165"/>
  <c r="F20" i="165"/>
  <c r="F19" i="165"/>
  <c r="F18" i="165"/>
  <c r="F17" i="165"/>
  <c r="F16" i="165"/>
  <c r="F15" i="165"/>
  <c r="F14" i="165"/>
  <c r="F13" i="165"/>
  <c r="F12" i="165"/>
  <c r="F11" i="165"/>
  <c r="F10" i="165"/>
  <c r="F9" i="165"/>
  <c r="F8" i="165"/>
  <c r="F7" i="165"/>
  <c r="F6" i="165"/>
  <c r="F5" i="165"/>
  <c r="F40" i="165" l="1"/>
  <c r="F41" i="165" s="1"/>
  <c r="E60" i="3"/>
  <c r="E59" i="3"/>
  <c r="C58" i="3"/>
  <c r="E58" i="3" s="1"/>
  <c r="E57" i="3"/>
  <c r="C56" i="3"/>
  <c r="E56" i="3" s="1"/>
  <c r="E55" i="3"/>
  <c r="E54" i="3"/>
  <c r="E53" i="3"/>
  <c r="E52" i="3"/>
  <c r="E51" i="3"/>
  <c r="E50" i="3"/>
  <c r="E49" i="3"/>
  <c r="E48" i="3"/>
  <c r="E47" i="3"/>
  <c r="E46" i="3"/>
  <c r="E45" i="3"/>
  <c r="E44" i="3"/>
  <c r="C43" i="3"/>
  <c r="E43" i="3" s="1"/>
  <c r="E42" i="3"/>
  <c r="E41" i="3"/>
  <c r="E40" i="3"/>
  <c r="E39" i="3"/>
  <c r="E38" i="3"/>
  <c r="D37" i="3"/>
  <c r="C35" i="3"/>
  <c r="E35" i="3" s="1"/>
  <c r="E34" i="3"/>
  <c r="E33" i="3"/>
  <c r="C32" i="3"/>
  <c r="E32" i="3" s="1"/>
  <c r="D31" i="3"/>
  <c r="E29" i="3"/>
  <c r="D28" i="3"/>
  <c r="C28" i="3"/>
  <c r="E28" i="3" s="1"/>
  <c r="E26" i="3"/>
  <c r="E25" i="3"/>
  <c r="E24" i="3"/>
  <c r="E23" i="3"/>
  <c r="E22" i="3"/>
  <c r="E21" i="3"/>
  <c r="E20" i="3"/>
  <c r="E19" i="3"/>
  <c r="E18" i="3"/>
  <c r="E17" i="3"/>
  <c r="E16" i="3"/>
  <c r="E15" i="3"/>
  <c r="E14" i="3"/>
  <c r="E13" i="3"/>
  <c r="E12" i="3"/>
  <c r="E11" i="3"/>
  <c r="E10" i="3"/>
  <c r="D9" i="3"/>
  <c r="E9" i="3" s="1"/>
  <c r="E8" i="3"/>
  <c r="C7" i="3"/>
  <c r="E7" i="3" s="1"/>
  <c r="C6" i="3"/>
  <c r="E6" i="3" s="1"/>
  <c r="C37" i="3" l="1"/>
  <c r="E37" i="3" s="1"/>
  <c r="D5" i="3"/>
  <c r="D61" i="3" s="1"/>
  <c r="C5" i="3"/>
  <c r="E5" i="3" s="1"/>
  <c r="C31" i="3"/>
  <c r="E31" i="3" s="1"/>
  <c r="C61" i="3" l="1"/>
  <c r="E61" i="3" s="1"/>
  <c r="L30" i="155"/>
  <c r="L29" i="155"/>
  <c r="J29" i="155"/>
  <c r="F29" i="155"/>
  <c r="K29" i="155" s="1"/>
  <c r="L28" i="155"/>
  <c r="J28" i="155"/>
  <c r="F28" i="155"/>
  <c r="F27" i="155"/>
  <c r="F22" i="155" s="1"/>
  <c r="K22" i="155" s="1"/>
  <c r="L26" i="155"/>
  <c r="J26" i="155"/>
  <c r="F26" i="155"/>
  <c r="K26" i="155" s="1"/>
  <c r="L25" i="155"/>
  <c r="J25" i="155"/>
  <c r="F25" i="155"/>
  <c r="K25" i="155" s="1"/>
  <c r="L24" i="155"/>
  <c r="J24" i="155"/>
  <c r="J22" i="155" s="1"/>
  <c r="F24" i="155"/>
  <c r="K24" i="155" s="1"/>
  <c r="L23" i="155"/>
  <c r="J23" i="155"/>
  <c r="F23" i="155"/>
  <c r="K23" i="155" s="1"/>
  <c r="L22" i="155"/>
  <c r="I22" i="155"/>
  <c r="H22" i="155"/>
  <c r="G22" i="155"/>
  <c r="E22" i="155"/>
  <c r="D22" i="155"/>
  <c r="C22" i="155"/>
  <c r="L21" i="155"/>
  <c r="J21" i="155"/>
  <c r="F21" i="155"/>
  <c r="K21" i="155" s="1"/>
  <c r="L20" i="155"/>
  <c r="J20" i="155"/>
  <c r="F20" i="155"/>
  <c r="L19" i="155"/>
  <c r="J19" i="155"/>
  <c r="F19" i="155"/>
  <c r="L18" i="155"/>
  <c r="J18" i="155"/>
  <c r="F18" i="155"/>
  <c r="K18" i="155" s="1"/>
  <c r="L17" i="155"/>
  <c r="J17" i="155"/>
  <c r="F17" i="155"/>
  <c r="K17" i="155" s="1"/>
  <c r="L16" i="155"/>
  <c r="I16" i="155"/>
  <c r="H16" i="155"/>
  <c r="G16" i="155"/>
  <c r="J16" i="155" s="1"/>
  <c r="E16" i="155"/>
  <c r="D16" i="155"/>
  <c r="C16" i="155"/>
  <c r="F16" i="155" s="1"/>
  <c r="L15" i="155"/>
  <c r="J15" i="155"/>
  <c r="F15" i="155"/>
  <c r="K15" i="155" s="1"/>
  <c r="L13" i="155"/>
  <c r="J13" i="155"/>
  <c r="F13" i="155"/>
  <c r="L12" i="155"/>
  <c r="J12" i="155"/>
  <c r="F12" i="155"/>
  <c r="L11" i="155"/>
  <c r="J11" i="155"/>
  <c r="F11" i="155"/>
  <c r="K11" i="155" s="1"/>
  <c r="L10" i="155"/>
  <c r="J10" i="155"/>
  <c r="F10" i="155"/>
  <c r="K10" i="155" s="1"/>
  <c r="L9" i="155"/>
  <c r="J9" i="155"/>
  <c r="F9" i="155"/>
  <c r="L8" i="155"/>
  <c r="J8" i="155"/>
  <c r="F8" i="155"/>
  <c r="L7" i="155"/>
  <c r="I7" i="155"/>
  <c r="I30" i="155" s="1"/>
  <c r="H7" i="155"/>
  <c r="G7" i="155"/>
  <c r="G30" i="155" s="1"/>
  <c r="E7" i="155"/>
  <c r="E30" i="155" s="1"/>
  <c r="D7" i="155"/>
  <c r="C7" i="155"/>
  <c r="J29" i="76"/>
  <c r="F29" i="76"/>
  <c r="K29" i="76" s="1"/>
  <c r="J28" i="76"/>
  <c r="F28" i="76"/>
  <c r="F27" i="76"/>
  <c r="J26" i="76"/>
  <c r="F26" i="76"/>
  <c r="K26" i="76" s="1"/>
  <c r="J25" i="76"/>
  <c r="F25" i="76"/>
  <c r="K25" i="76" s="1"/>
  <c r="J24" i="76"/>
  <c r="F24" i="76"/>
  <c r="K24" i="76" s="1"/>
  <c r="J23" i="76"/>
  <c r="F23" i="76"/>
  <c r="K23" i="76" s="1"/>
  <c r="J22" i="76"/>
  <c r="I22" i="76"/>
  <c r="H22" i="76"/>
  <c r="G22" i="76"/>
  <c r="F22" i="76"/>
  <c r="K22" i="76" s="1"/>
  <c r="E22" i="76"/>
  <c r="D22" i="76"/>
  <c r="C22" i="76"/>
  <c r="J21" i="76"/>
  <c r="F21" i="76"/>
  <c r="J20" i="76"/>
  <c r="F20" i="76"/>
  <c r="K20" i="76" s="1"/>
  <c r="J19" i="76"/>
  <c r="F19" i="76"/>
  <c r="J18" i="76"/>
  <c r="F18" i="76"/>
  <c r="K18" i="76" s="1"/>
  <c r="J17" i="76"/>
  <c r="F17" i="76"/>
  <c r="I16" i="76"/>
  <c r="H16" i="76"/>
  <c r="G16" i="76"/>
  <c r="J16" i="76" s="1"/>
  <c r="E16" i="76"/>
  <c r="D16" i="76"/>
  <c r="C16" i="76"/>
  <c r="F16" i="76" s="1"/>
  <c r="J15" i="76"/>
  <c r="F15" i="76"/>
  <c r="J13" i="76"/>
  <c r="F13" i="76"/>
  <c r="K13" i="76" s="1"/>
  <c r="J12" i="76"/>
  <c r="F12" i="76"/>
  <c r="J11" i="76"/>
  <c r="F11" i="76"/>
  <c r="K11" i="76" s="1"/>
  <c r="J10" i="76"/>
  <c r="F10" i="76"/>
  <c r="J9" i="76"/>
  <c r="F9" i="76"/>
  <c r="K9" i="76" s="1"/>
  <c r="J8" i="76"/>
  <c r="F8" i="76"/>
  <c r="I7" i="76"/>
  <c r="I30" i="76" s="1"/>
  <c r="H7" i="76"/>
  <c r="H30" i="76" s="1"/>
  <c r="G7" i="76"/>
  <c r="G30" i="76" s="1"/>
  <c r="E7" i="76"/>
  <c r="E30" i="76" s="1"/>
  <c r="D7" i="76"/>
  <c r="D30" i="76" s="1"/>
  <c r="C7" i="76"/>
  <c r="C30" i="76" s="1"/>
  <c r="K16" i="155" l="1"/>
  <c r="K28" i="76"/>
  <c r="K9" i="155"/>
  <c r="K13" i="155"/>
  <c r="K20" i="155"/>
  <c r="K28" i="155"/>
  <c r="C30" i="155"/>
  <c r="K16" i="76"/>
  <c r="F7" i="155"/>
  <c r="F30" i="155" s="1"/>
  <c r="J7" i="155"/>
  <c r="J30" i="155" s="1"/>
  <c r="K8" i="76"/>
  <c r="K10" i="76"/>
  <c r="K12" i="76"/>
  <c r="K15" i="76"/>
  <c r="K17" i="76"/>
  <c r="K19" i="76"/>
  <c r="K21" i="76"/>
  <c r="D30" i="155"/>
  <c r="H30" i="155"/>
  <c r="K8" i="155"/>
  <c r="K12" i="155"/>
  <c r="K19" i="155"/>
  <c r="K7" i="155"/>
  <c r="F7" i="76"/>
  <c r="J7" i="76"/>
  <c r="J30" i="76" s="1"/>
  <c r="K30" i="155" l="1"/>
  <c r="K7" i="76"/>
  <c r="F30" i="76"/>
  <c r="K30" i="76" s="1"/>
  <c r="G17" i="159" l="1"/>
  <c r="G15" i="159"/>
  <c r="G14" i="159"/>
  <c r="G13" i="159"/>
  <c r="G12" i="159"/>
  <c r="G10" i="159"/>
  <c r="G9" i="159"/>
  <c r="F11" i="159"/>
  <c r="F7" i="159" s="1"/>
  <c r="F18" i="159" s="1"/>
  <c r="E11" i="159"/>
  <c r="D11" i="159"/>
  <c r="C11" i="159"/>
  <c r="G11" i="159" s="1"/>
  <c r="D7" i="159"/>
  <c r="F8" i="159"/>
  <c r="E8" i="159"/>
  <c r="E7" i="159" s="1"/>
  <c r="E18" i="159" s="1"/>
  <c r="D8" i="159"/>
  <c r="C8" i="159"/>
  <c r="C7" i="159" s="1"/>
  <c r="C18" i="159" s="1"/>
  <c r="C16" i="159" l="1"/>
  <c r="G16" i="159" s="1"/>
  <c r="G7" i="159"/>
  <c r="G8" i="159"/>
  <c r="G18" i="159"/>
  <c r="H6" i="164"/>
  <c r="H8" i="164" s="1"/>
  <c r="I6" i="164"/>
  <c r="I8" i="164" s="1"/>
  <c r="F106" i="150" l="1"/>
  <c r="E106" i="150"/>
  <c r="E42" i="166" l="1"/>
  <c r="E41" i="165" s="1"/>
  <c r="E44" i="165" s="1"/>
  <c r="D42" i="166"/>
  <c r="D41" i="165" s="1"/>
  <c r="F41" i="166"/>
  <c r="F40" i="166"/>
  <c r="F39" i="166"/>
  <c r="F38" i="166"/>
  <c r="F37" i="166"/>
  <c r="F36" i="166"/>
  <c r="F35" i="166"/>
  <c r="F34" i="166"/>
  <c r="F33" i="166"/>
  <c r="F32" i="166"/>
  <c r="F31" i="166"/>
  <c r="F30" i="166"/>
  <c r="F29" i="166"/>
  <c r="F28" i="166"/>
  <c r="F27" i="166"/>
  <c r="F26" i="166"/>
  <c r="F25" i="166"/>
  <c r="F24" i="166"/>
  <c r="F23" i="166"/>
  <c r="F22" i="166"/>
  <c r="F21" i="166"/>
  <c r="F20" i="166"/>
  <c r="F19" i="166"/>
  <c r="F18" i="166"/>
  <c r="F17" i="166"/>
  <c r="F16" i="166"/>
  <c r="F15" i="166"/>
  <c r="F14" i="166"/>
  <c r="F13" i="166"/>
  <c r="F12" i="166"/>
  <c r="F11" i="166"/>
  <c r="F10" i="166"/>
  <c r="F9" i="166"/>
  <c r="F8" i="166"/>
  <c r="F7" i="166"/>
  <c r="F6" i="166"/>
  <c r="F5" i="166"/>
  <c r="D44" i="165"/>
  <c r="G14" i="164"/>
  <c r="G13" i="164"/>
  <c r="M6" i="164"/>
  <c r="G6" i="164"/>
  <c r="N18" i="163"/>
  <c r="M18" i="163"/>
  <c r="G17" i="163"/>
  <c r="H6" i="163" s="1"/>
  <c r="H17" i="163" s="1"/>
  <c r="N16" i="163"/>
  <c r="M16" i="163"/>
  <c r="N15" i="163"/>
  <c r="M15" i="163"/>
  <c r="N14" i="163"/>
  <c r="M14" i="163"/>
  <c r="N13" i="163"/>
  <c r="M13" i="163"/>
  <c r="N12" i="163"/>
  <c r="M12" i="163"/>
  <c r="N11" i="163"/>
  <c r="M11" i="163"/>
  <c r="N10" i="163"/>
  <c r="M10" i="163"/>
  <c r="N9" i="163"/>
  <c r="M9" i="163"/>
  <c r="N8" i="163"/>
  <c r="M8" i="163"/>
  <c r="L7" i="163"/>
  <c r="K7" i="163"/>
  <c r="K17" i="163" s="1"/>
  <c r="L6" i="163" s="1"/>
  <c r="L17" i="163" s="1"/>
  <c r="J7" i="163"/>
  <c r="I7" i="163"/>
  <c r="I17" i="163" s="1"/>
  <c r="J6" i="163" s="1"/>
  <c r="J17" i="163" s="1"/>
  <c r="H7" i="163"/>
  <c r="F7" i="163"/>
  <c r="E7" i="163"/>
  <c r="E17" i="163" s="1"/>
  <c r="F6" i="163" s="1"/>
  <c r="D7" i="163"/>
  <c r="C7" i="163"/>
  <c r="C17" i="163" s="1"/>
  <c r="M6" i="163"/>
  <c r="H106" i="150"/>
  <c r="C25" i="142"/>
  <c r="D25" i="142"/>
  <c r="E25" i="142"/>
  <c r="F25" i="142"/>
  <c r="C6" i="142"/>
  <c r="D6" i="142"/>
  <c r="E6" i="142"/>
  <c r="F6" i="142"/>
  <c r="G6" i="142"/>
  <c r="H6" i="142"/>
  <c r="G7" i="142"/>
  <c r="H7" i="142"/>
  <c r="G8" i="142"/>
  <c r="H8" i="142"/>
  <c r="G9" i="142"/>
  <c r="H9" i="142"/>
  <c r="G10" i="142"/>
  <c r="H10" i="142"/>
  <c r="C11" i="142"/>
  <c r="D11" i="142"/>
  <c r="E11" i="142"/>
  <c r="F11" i="142"/>
  <c r="H11" i="142" s="1"/>
  <c r="G11" i="142"/>
  <c r="G12" i="142"/>
  <c r="H12" i="142"/>
  <c r="G13" i="142"/>
  <c r="H13" i="142"/>
  <c r="G14" i="142"/>
  <c r="H14" i="142"/>
  <c r="G15" i="142"/>
  <c r="H15" i="142"/>
  <c r="G16" i="142"/>
  <c r="H16" i="142"/>
  <c r="G17" i="142"/>
  <c r="H17" i="142"/>
  <c r="G18" i="142"/>
  <c r="H18" i="142"/>
  <c r="G19" i="142"/>
  <c r="H19" i="142"/>
  <c r="G20" i="142"/>
  <c r="H20" i="142"/>
  <c r="C21" i="142"/>
  <c r="D21" i="142"/>
  <c r="E21" i="142"/>
  <c r="E69" i="142" s="1"/>
  <c r="F21" i="142"/>
  <c r="G21" i="142"/>
  <c r="H21" i="142"/>
  <c r="G22" i="142"/>
  <c r="H22" i="142"/>
  <c r="G23" i="142"/>
  <c r="H23" i="142"/>
  <c r="G24" i="142"/>
  <c r="H24" i="142"/>
  <c r="G25" i="142"/>
  <c r="G26" i="142"/>
  <c r="H26" i="142"/>
  <c r="G27" i="142"/>
  <c r="H27" i="142"/>
  <c r="G28" i="142"/>
  <c r="H28" i="142"/>
  <c r="G29" i="142"/>
  <c r="H29" i="142"/>
  <c r="C30" i="142"/>
  <c r="D30" i="142"/>
  <c r="E30" i="142"/>
  <c r="F30" i="142"/>
  <c r="H30" i="142" s="1"/>
  <c r="G30" i="142"/>
  <c r="G31" i="142"/>
  <c r="H31" i="142"/>
  <c r="G32" i="142"/>
  <c r="H32" i="142"/>
  <c r="G33" i="142"/>
  <c r="H33" i="142"/>
  <c r="G34" i="142"/>
  <c r="H34" i="142"/>
  <c r="C37" i="142"/>
  <c r="D37" i="142"/>
  <c r="E37" i="142"/>
  <c r="F37" i="142"/>
  <c r="G38" i="142"/>
  <c r="H38" i="142"/>
  <c r="G39" i="142"/>
  <c r="H39" i="142"/>
  <c r="G40" i="142"/>
  <c r="H40" i="142"/>
  <c r="G41" i="142"/>
  <c r="H41" i="142"/>
  <c r="G42" i="142"/>
  <c r="H42" i="142"/>
  <c r="G43" i="142"/>
  <c r="H43" i="142"/>
  <c r="G44" i="142"/>
  <c r="H44" i="142"/>
  <c r="G45" i="142"/>
  <c r="H45" i="142"/>
  <c r="G46" i="142"/>
  <c r="H46" i="142"/>
  <c r="G48" i="142"/>
  <c r="H48" i="142"/>
  <c r="G49" i="142"/>
  <c r="H49" i="142"/>
  <c r="G50" i="142"/>
  <c r="H50" i="142"/>
  <c r="G51" i="142"/>
  <c r="H51" i="142"/>
  <c r="G52" i="142"/>
  <c r="H52" i="142"/>
  <c r="G53" i="142"/>
  <c r="H53" i="142"/>
  <c r="C54" i="142"/>
  <c r="D54" i="142"/>
  <c r="E54" i="142"/>
  <c r="G54" i="142" s="1"/>
  <c r="F54" i="142"/>
  <c r="H54" i="142" s="1"/>
  <c r="G55" i="142"/>
  <c r="G56" i="142"/>
  <c r="G57" i="142"/>
  <c r="G58" i="142"/>
  <c r="G59" i="142"/>
  <c r="G60" i="142"/>
  <c r="H60" i="142"/>
  <c r="G61" i="142"/>
  <c r="H61" i="142"/>
  <c r="G62" i="142"/>
  <c r="H62" i="142"/>
  <c r="G63" i="142"/>
  <c r="H63" i="142"/>
  <c r="G64" i="142"/>
  <c r="H64" i="142"/>
  <c r="G65" i="142"/>
  <c r="H65" i="142"/>
  <c r="G66" i="142"/>
  <c r="H66" i="142"/>
  <c r="G67" i="142"/>
  <c r="H67" i="142"/>
  <c r="G68" i="142"/>
  <c r="H68" i="142"/>
  <c r="H25" i="142" l="1"/>
  <c r="N7" i="163"/>
  <c r="F17" i="163"/>
  <c r="F44" i="165"/>
  <c r="F42" i="166"/>
  <c r="M17" i="163"/>
  <c r="D6" i="163"/>
  <c r="M7" i="163"/>
  <c r="H37" i="142"/>
  <c r="H36" i="142" s="1"/>
  <c r="H35" i="142" s="1"/>
  <c r="G37" i="142"/>
  <c r="G36" i="142" s="1"/>
  <c r="G35" i="142" s="1"/>
  <c r="C69" i="142"/>
  <c r="G69" i="142" s="1"/>
  <c r="F69" i="142"/>
  <c r="F70" i="142" s="1"/>
  <c r="D69" i="142"/>
  <c r="N6" i="163" l="1"/>
  <c r="D17" i="163"/>
  <c r="N17" i="163" s="1"/>
  <c r="D70" i="142"/>
  <c r="H69" i="142"/>
  <c r="F11" i="144" l="1"/>
  <c r="E11" i="144"/>
  <c r="E9" i="162" l="1"/>
  <c r="F6" i="162"/>
  <c r="F9" i="162" s="1"/>
  <c r="E16" i="161"/>
  <c r="D15" i="161"/>
  <c r="C15" i="161"/>
  <c r="E15" i="161" s="1"/>
  <c r="E13" i="161"/>
  <c r="E12" i="161"/>
  <c r="E10" i="161"/>
  <c r="E8" i="161"/>
  <c r="E7" i="161"/>
  <c r="A7" i="161"/>
  <c r="A8" i="161" s="1"/>
  <c r="A9" i="161" s="1"/>
  <c r="A10" i="161" s="1"/>
  <c r="D6" i="161"/>
  <c r="D18" i="161" s="1"/>
  <c r="C6" i="161"/>
  <c r="C18" i="161" s="1"/>
  <c r="E12" i="160"/>
  <c r="C12" i="160"/>
  <c r="C11" i="160"/>
  <c r="E9" i="160" s="1"/>
  <c r="E11" i="160" s="1"/>
  <c r="A7" i="160"/>
  <c r="A8" i="160" s="1"/>
  <c r="A9" i="160" s="1"/>
  <c r="A10" i="160" s="1"/>
  <c r="E18" i="158"/>
  <c r="E17" i="158"/>
  <c r="E16" i="158"/>
  <c r="D15" i="158"/>
  <c r="C15" i="158"/>
  <c r="E15" i="158" s="1"/>
  <c r="E14" i="158"/>
  <c r="D13" i="158"/>
  <c r="C13" i="158"/>
  <c r="E13" i="158" s="1"/>
  <c r="E12" i="158"/>
  <c r="E11" i="158"/>
  <c r="E10" i="158"/>
  <c r="E9" i="158"/>
  <c r="E8" i="158"/>
  <c r="D7" i="158"/>
  <c r="C7" i="158"/>
  <c r="E6" i="158"/>
  <c r="A6" i="158"/>
  <c r="A7" i="158" s="1"/>
  <c r="A8" i="158" s="1"/>
  <c r="A9" i="158" s="1"/>
  <c r="A10" i="158" s="1"/>
  <c r="A11" i="158" s="1"/>
  <c r="A12" i="158" s="1"/>
  <c r="A13" i="158" s="1"/>
  <c r="A14" i="158" s="1"/>
  <c r="A15" i="158" s="1"/>
  <c r="A16" i="158" s="1"/>
  <c r="A17" i="158" s="1"/>
  <c r="A18" i="158" s="1"/>
  <c r="A19" i="158" s="1"/>
  <c r="D5" i="158"/>
  <c r="D19" i="158" s="1"/>
  <c r="C5" i="158"/>
  <c r="C19" i="158" l="1"/>
  <c r="E19" i="158" s="1"/>
  <c r="E7" i="158"/>
  <c r="E6" i="161"/>
  <c r="E18" i="161" s="1"/>
  <c r="E5" i="158"/>
  <c r="C74" i="142" l="1"/>
  <c r="C5" i="64" l="1"/>
  <c r="C22" i="64" s="1"/>
  <c r="D19" i="144" l="1"/>
  <c r="E19" i="144"/>
  <c r="F19" i="144"/>
  <c r="D16" i="144"/>
  <c r="E16" i="144"/>
  <c r="F16" i="144"/>
  <c r="D13" i="144"/>
  <c r="E13" i="144"/>
  <c r="F13" i="144"/>
  <c r="D10" i="144"/>
  <c r="E10" i="144"/>
  <c r="F10" i="144"/>
  <c r="D7" i="144"/>
  <c r="E7" i="144"/>
  <c r="E6" i="144" s="1"/>
  <c r="F7" i="144"/>
  <c r="F6" i="144" l="1"/>
  <c r="D6" i="144"/>
  <c r="G87" i="150" l="1"/>
  <c r="H87" i="150"/>
  <c r="C13" i="144" l="1"/>
  <c r="G98" i="150" l="1"/>
  <c r="H98" i="150"/>
  <c r="D18" i="154" l="1"/>
  <c r="C18" i="154"/>
  <c r="D11" i="154"/>
  <c r="C11" i="154"/>
  <c r="D5" i="154"/>
  <c r="C5" i="154"/>
  <c r="H101" i="150"/>
  <c r="G101" i="150"/>
  <c r="H100" i="150"/>
  <c r="G100" i="150"/>
  <c r="H99" i="150"/>
  <c r="G99" i="150"/>
  <c r="H97" i="150"/>
  <c r="G97" i="150"/>
  <c r="H96" i="150"/>
  <c r="G96" i="150"/>
  <c r="H95" i="150"/>
  <c r="G95" i="150"/>
  <c r="H94" i="150"/>
  <c r="G94" i="150"/>
  <c r="H93" i="150"/>
  <c r="G93" i="150"/>
  <c r="H92" i="150"/>
  <c r="G92" i="150"/>
  <c r="H91" i="150"/>
  <c r="G91" i="150"/>
  <c r="F90" i="150"/>
  <c r="E90" i="150"/>
  <c r="D90" i="150"/>
  <c r="C90" i="150"/>
  <c r="H89" i="150"/>
  <c r="G89" i="150"/>
  <c r="H88" i="150"/>
  <c r="G88" i="150"/>
  <c r="H86" i="150"/>
  <c r="G86" i="150"/>
  <c r="H85" i="150"/>
  <c r="G85" i="150"/>
  <c r="H84" i="150"/>
  <c r="G84" i="150"/>
  <c r="H83" i="150"/>
  <c r="G83" i="150"/>
  <c r="H82" i="150"/>
  <c r="G82" i="150"/>
  <c r="F81" i="150"/>
  <c r="E81" i="150"/>
  <c r="E79" i="150" s="1"/>
  <c r="D81" i="150"/>
  <c r="D79" i="150" s="1"/>
  <c r="C81" i="150"/>
  <c r="H80" i="150"/>
  <c r="G80" i="150"/>
  <c r="C79"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G68" i="150" s="1"/>
  <c r="H67" i="150"/>
  <c r="G67" i="150"/>
  <c r="H66" i="150"/>
  <c r="G66" i="150"/>
  <c r="H65" i="150"/>
  <c r="G65" i="150"/>
  <c r="H64" i="150"/>
  <c r="G64" i="150"/>
  <c r="H63" i="150"/>
  <c r="G63" i="150"/>
  <c r="F62" i="150"/>
  <c r="E62" i="150"/>
  <c r="E60" i="150" s="1"/>
  <c r="D62" i="150"/>
  <c r="D60" i="150" s="1"/>
  <c r="C62" i="150"/>
  <c r="C60" i="150" s="1"/>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H44" i="150" s="1"/>
  <c r="C44" i="150"/>
  <c r="H43" i="150"/>
  <c r="G43" i="150"/>
  <c r="H42" i="150"/>
  <c r="G42" i="150"/>
  <c r="H41" i="150"/>
  <c r="G41" i="150"/>
  <c r="F40" i="150"/>
  <c r="E40" i="150"/>
  <c r="D40" i="150"/>
  <c r="C40" i="150"/>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H25" i="150"/>
  <c r="G25" i="150"/>
  <c r="H24" i="150"/>
  <c r="G24" i="150"/>
  <c r="H23" i="150"/>
  <c r="G23" i="150"/>
  <c r="H22" i="150"/>
  <c r="G22" i="150"/>
  <c r="H21" i="150"/>
  <c r="G21" i="150"/>
  <c r="H20" i="150"/>
  <c r="G20" i="150"/>
  <c r="F19" i="150"/>
  <c r="E19" i="150"/>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E6" i="150"/>
  <c r="D6" i="150"/>
  <c r="D102" i="150" s="1"/>
  <c r="C6" i="150"/>
  <c r="F6" i="149"/>
  <c r="H6" i="149" s="1"/>
  <c r="E6" i="149"/>
  <c r="D6" i="149"/>
  <c r="C6" i="149"/>
  <c r="G7" i="149"/>
  <c r="H8" i="149"/>
  <c r="G10" i="149"/>
  <c r="H11" i="149"/>
  <c r="G14" i="149"/>
  <c r="H14" i="149"/>
  <c r="G15" i="149"/>
  <c r="H15" i="149"/>
  <c r="D9" i="149"/>
  <c r="E9" i="149"/>
  <c r="F9" i="149"/>
  <c r="C9" i="149"/>
  <c r="F13" i="149"/>
  <c r="H13" i="149" s="1"/>
  <c r="E13" i="149"/>
  <c r="D13" i="149"/>
  <c r="C13" i="149"/>
  <c r="G13" i="149" s="1"/>
  <c r="A8" i="149"/>
  <c r="A9" i="149"/>
  <c r="A10" i="149" s="1"/>
  <c r="A11" i="149" s="1"/>
  <c r="A12" i="149" s="1"/>
  <c r="A13" i="149" s="1"/>
  <c r="A14" i="149" s="1"/>
  <c r="D20" i="146"/>
  <c r="C20" i="146"/>
  <c r="C12" i="146" s="1"/>
  <c r="D21" i="146"/>
  <c r="C17" i="146"/>
  <c r="C21" i="146"/>
  <c r="D17" i="146"/>
  <c r="D6" i="146"/>
  <c r="C6" i="146"/>
  <c r="A6" i="146"/>
  <c r="A7" i="146" s="1"/>
  <c r="A8" i="146" s="1"/>
  <c r="A9" i="146" s="1"/>
  <c r="A10" i="146" s="1"/>
  <c r="A11" i="146" s="1"/>
  <c r="A12" i="146" s="1"/>
  <c r="A13" i="146" s="1"/>
  <c r="A15" i="146" s="1"/>
  <c r="A16" i="146" s="1"/>
  <c r="A17" i="146" s="1"/>
  <c r="A18" i="146" s="1"/>
  <c r="A19" i="146" s="1"/>
  <c r="A20" i="146" s="1"/>
  <c r="A21" i="146" s="1"/>
  <c r="I20" i="91"/>
  <c r="I19" i="91"/>
  <c r="I18" i="91"/>
  <c r="I17" i="91"/>
  <c r="I16" i="91"/>
  <c r="I15" i="91"/>
  <c r="I14" i="91"/>
  <c r="I13" i="91"/>
  <c r="I12" i="91"/>
  <c r="I11" i="91"/>
  <c r="H10" i="91"/>
  <c r="H21" i="91"/>
  <c r="G10" i="91"/>
  <c r="G21" i="91"/>
  <c r="F10" i="91"/>
  <c r="F21" i="91" s="1"/>
  <c r="E10" i="91"/>
  <c r="E21" i="91" s="1"/>
  <c r="D10" i="91"/>
  <c r="D21" i="91" s="1"/>
  <c r="C10" i="91"/>
  <c r="C21" i="91" s="1"/>
  <c r="I9" i="91"/>
  <c r="I8" i="91"/>
  <c r="I6" i="91"/>
  <c r="C19" i="144"/>
  <c r="C16" i="144"/>
  <c r="C10" i="144"/>
  <c r="C7" i="144"/>
  <c r="A7" i="142"/>
  <c r="A8" i="142" s="1"/>
  <c r="A9" i="142" s="1"/>
  <c r="A10" i="142" s="1"/>
  <c r="A11" i="142" s="1"/>
  <c r="A12" i="142" s="1"/>
  <c r="A13" i="142" s="1"/>
  <c r="A14" i="142" s="1"/>
  <c r="A15" i="142" s="1"/>
  <c r="A16" i="142" s="1"/>
  <c r="A17" i="142" s="1"/>
  <c r="A18" i="142" s="1"/>
  <c r="A19" i="142" s="1"/>
  <c r="A20" i="142" s="1"/>
  <c r="A21" i="142" s="1"/>
  <c r="A22" i="142" s="1"/>
  <c r="A23" i="142" s="1"/>
  <c r="A24" i="142" s="1"/>
  <c r="A7" i="90"/>
  <c r="A8" i="90"/>
  <c r="A9" i="90" s="1"/>
  <c r="A10" i="90" s="1"/>
  <c r="A11" i="90" s="1"/>
  <c r="A12" i="90" s="1"/>
  <c r="A13" i="90" s="1"/>
  <c r="A14" i="90" s="1"/>
  <c r="A15" i="90" s="1"/>
  <c r="A17" i="90" s="1"/>
  <c r="A18" i="90" s="1"/>
  <c r="A19" i="90" s="1"/>
  <c r="A20" i="90" s="1"/>
  <c r="C7" i="90"/>
  <c r="C14" i="90" s="1"/>
  <c r="C20" i="90" s="1"/>
  <c r="D7" i="90"/>
  <c r="A7" i="116"/>
  <c r="E8" i="116"/>
  <c r="F8" i="116"/>
  <c r="D18" i="116" s="1"/>
  <c r="A9" i="116"/>
  <c r="A10" i="116"/>
  <c r="A11" i="116"/>
  <c r="A12" i="116"/>
  <c r="A13" i="116" s="1"/>
  <c r="A14" i="116" s="1"/>
  <c r="A15" i="116" s="1"/>
  <c r="A16" i="116" s="1"/>
  <c r="A17" i="116" s="1"/>
  <c r="A18" i="116" s="1"/>
  <c r="C13" i="116"/>
  <c r="C17" i="116" s="1"/>
  <c r="D13" i="116"/>
  <c r="D14" i="116"/>
  <c r="H9" i="149"/>
  <c r="G9" i="149"/>
  <c r="H6" i="150"/>
  <c r="G62" i="150"/>
  <c r="F60" i="150"/>
  <c r="H60" i="150" s="1"/>
  <c r="F79" i="150"/>
  <c r="H79" i="150" s="1"/>
  <c r="H90" i="150"/>
  <c r="G81" i="150" l="1"/>
  <c r="D14" i="90"/>
  <c r="G19" i="150"/>
  <c r="G27" i="150"/>
  <c r="G44" i="150"/>
  <c r="G40" i="150"/>
  <c r="D19" i="90"/>
  <c r="D20" i="90" s="1"/>
  <c r="D17" i="116"/>
  <c r="C9" i="146"/>
  <c r="C5" i="146" s="1"/>
  <c r="C16" i="146" s="1"/>
  <c r="D10" i="146"/>
  <c r="D12" i="146" s="1"/>
  <c r="D9" i="146" s="1"/>
  <c r="D5" i="146" s="1"/>
  <c r="D16" i="146" s="1"/>
  <c r="E102" i="150"/>
  <c r="G90" i="150"/>
  <c r="H62" i="150"/>
  <c r="F102" i="150"/>
  <c r="G32" i="150"/>
  <c r="H27" i="150"/>
  <c r="H19" i="150"/>
  <c r="G6" i="150"/>
  <c r="C102" i="150"/>
  <c r="D103" i="150" s="1"/>
  <c r="C6" i="144"/>
  <c r="I10" i="91"/>
  <c r="C12" i="149"/>
  <c r="C16" i="149" s="1"/>
  <c r="F12" i="149"/>
  <c r="F16" i="149" s="1"/>
  <c r="E12" i="149"/>
  <c r="E16" i="149" s="1"/>
  <c r="H12" i="149"/>
  <c r="D12" i="149"/>
  <c r="D16" i="149" s="1"/>
  <c r="I21" i="91"/>
  <c r="H68" i="150"/>
  <c r="H81" i="150"/>
  <c r="H40" i="150"/>
  <c r="G79" i="150"/>
  <c r="H32" i="150"/>
  <c r="G60" i="150"/>
  <c r="A25" i="142"/>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G6" i="149"/>
  <c r="G12" i="149" s="1"/>
  <c r="G16" i="149" l="1"/>
  <c r="H16" i="149"/>
  <c r="F103" i="150"/>
  <c r="H102" i="150"/>
  <c r="G102" i="150"/>
</calcChain>
</file>

<file path=xl/comments1.xml><?xml version="1.0" encoding="utf-8"?>
<comments xmlns="http://schemas.openxmlformats.org/spreadsheetml/2006/main">
  <authors>
    <author>Ing. Gondárová Beata</author>
    <author>Lýdia Vanáková</author>
  </authors>
  <commentList>
    <comment ref="E3" author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t>
        </r>
        <r>
          <rPr>
            <u/>
            <sz val="10"/>
            <color indexed="81"/>
            <rFont val="Tahoma"/>
            <family val="2"/>
            <charset val="238"/>
          </rPr>
          <t>zo všetkých zdrojov</t>
        </r>
        <r>
          <rPr>
            <sz val="10"/>
            <color indexed="81"/>
            <rFont val="Tahoma"/>
            <family val="2"/>
            <charset val="238"/>
          </rPr>
          <t xml:space="preserve">), prijatých do 31.8.2012 - </t>
        </r>
        <r>
          <rPr>
            <b/>
            <sz val="10"/>
            <color indexed="81"/>
            <rFont val="Tahoma"/>
            <family val="2"/>
            <charset val="238"/>
          </rPr>
          <t>nie</t>
        </r>
        <r>
          <rPr>
            <sz val="10"/>
            <color indexed="81"/>
            <rFont val="Tahoma"/>
            <family val="2"/>
            <charset val="238"/>
          </rPr>
          <t xml:space="preserve"> z účelovej dotácie (napr. štip.doktorandov platených z neúčelovej dotácie MŠVVaŠ, nebezpečn. príplatok, vyšší plat. stupeň)</t>
        </r>
      </text>
    </comment>
    <comment ref="F3" author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(zo všetkých zdrojov), prijatých po 1.9.2012 na miestach nepridelených "ministerstvom"</t>
        </r>
      </text>
    </comment>
    <comment ref="C14" authorId="1">
      <text>
        <r>
          <rPr>
            <b/>
            <sz val="9"/>
            <color indexed="81"/>
            <rFont val="Tahoma"/>
            <family val="2"/>
            <charset val="238"/>
          </rPr>
          <t>Lýdia Vanáková:</t>
        </r>
        <r>
          <rPr>
            <sz val="9"/>
            <color indexed="81"/>
            <rFont val="Tahoma"/>
            <family val="2"/>
            <charset val="238"/>
          </rPr>
          <t xml:space="preserve">
krátená neúčelová dotácia v roku 2016
</t>
        </r>
      </text>
    </comment>
  </commentList>
</comments>
</file>

<file path=xl/sharedStrings.xml><?xml version="1.0" encoding="utf-8"?>
<sst xmlns="http://schemas.openxmlformats.org/spreadsheetml/2006/main" count="1767" uniqueCount="1327">
  <si>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</si>
  <si>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</si>
  <si>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</si>
  <si>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</si>
  <si>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</si>
  <si>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</si>
  <si>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</si>
  <si>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</si>
  <si>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</si>
  <si>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</si>
  <si>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</si>
  <si>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</si>
  <si>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</si>
  <si>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</si>
  <si>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</si>
  <si>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</si>
  <si>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</si>
  <si>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</si>
  <si>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</si>
  <si>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</si>
  <si>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</si>
  <si>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</si>
  <si>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</si>
  <si>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</si>
  <si>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</si>
  <si>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</si>
  <si>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</si>
  <si>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</si>
  <si>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</si>
  <si>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</si>
  <si>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</si>
  <si>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</si>
  <si>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</si>
  <si>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</si>
  <si>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</si>
  <si>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</si>
  <si>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</si>
  <si>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</si>
  <si>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</si>
  <si>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</si>
  <si>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</si>
  <si>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</si>
  <si>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</si>
  <si>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</si>
  <si>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</si>
  <si>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</si>
  <si>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</si>
  <si>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</si>
  <si>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T16_R17</t>
  </si>
  <si>
    <t>Kontrola</t>
  </si>
  <si>
    <t>Poznámky</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</si>
  <si>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</si>
  <si>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</si>
  <si>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</si>
  <si>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</si>
  <si>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</si>
  <si>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</si>
  <si>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</si>
  <si>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</si>
  <si>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</si>
  <si>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</si>
  <si>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</si>
  <si>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</si>
  <si>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</si>
  <si>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</si>
  <si>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</si>
  <si>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</si>
  <si>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</si>
  <si>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</si>
  <si>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</si>
  <si>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</si>
  <si>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</si>
  <si>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</si>
  <si>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</si>
  <si>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</si>
  <si>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</si>
  <si>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</si>
  <si>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</si>
  <si>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</si>
  <si>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</si>
  <si>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</si>
  <si>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</si>
  <si>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</si>
  <si>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</si>
  <si>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</si>
  <si>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</si>
  <si>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</si>
  <si>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</si>
  <si>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</si>
  <si>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</si>
  <si>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</si>
  <si>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</si>
  <si>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</si>
  <si>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</si>
  <si>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</si>
  <si>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</si>
  <si>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</si>
  <si>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</si>
  <si>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</si>
  <si>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</si>
  <si>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</si>
  <si>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</si>
  <si>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</si>
  <si>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</si>
  <si>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</si>
  <si>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</si>
  <si>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</si>
  <si>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</si>
  <si>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</si>
  <si>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</si>
  <si>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</si>
  <si>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</si>
  <si>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</si>
  <si>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</si>
  <si>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</si>
  <si>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</si>
  <si>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</si>
  <si>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</si>
  <si>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</si>
  <si>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</si>
  <si>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</si>
  <si>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</si>
  <si>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</si>
  <si>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</si>
  <si>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</si>
  <si>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</si>
  <si>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</si>
  <si>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</si>
  <si>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</si>
  <si>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</si>
  <si>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ostatné služby (účet 518 099)</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</si>
  <si>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</si>
  <si>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</si>
  <si>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</si>
  <si>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</si>
  <si>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</si>
  <si>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</si>
  <si>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</si>
  <si>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</si>
  <si>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</si>
  <si>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</si>
  <si>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</si>
  <si>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</si>
  <si>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</si>
  <si>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</si>
  <si>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</si>
  <si>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</si>
  <si>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</si>
  <si>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</si>
  <si>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</si>
  <si>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</si>
  <si>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</si>
  <si>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</si>
  <si>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</si>
  <si>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</si>
  <si>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</si>
  <si>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</si>
  <si>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</si>
  <si>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</si>
  <si>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</si>
  <si>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</si>
  <si>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</si>
  <si>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</si>
  <si>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</si>
  <si>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</si>
  <si>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</si>
  <si>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</si>
  <si>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</si>
  <si>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</si>
  <si>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</si>
  <si>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</si>
  <si>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</si>
  <si>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</si>
  <si>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</si>
  <si>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</si>
  <si>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</si>
  <si>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</si>
  <si>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</si>
  <si>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</si>
  <si>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</si>
  <si>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</si>
  <si>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</si>
  <si>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</si>
  <si>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</si>
  <si>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</si>
  <si>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</si>
  <si>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</si>
  <si>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</si>
  <si>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</si>
  <si>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</si>
  <si>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</si>
  <si>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</si>
  <si>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</si>
  <si>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</si>
  <si>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</si>
  <si>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</si>
  <si>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</si>
  <si>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</si>
  <si>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</si>
  <si>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</si>
  <si>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</si>
  <si>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</si>
  <si>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</si>
  <si>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</si>
  <si>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</si>
  <si>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</si>
  <si>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</si>
  <si>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</si>
  <si>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</si>
  <si>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</si>
  <si>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</si>
  <si>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</si>
  <si>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</si>
  <si>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</si>
  <si>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</si>
  <si>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</si>
  <si>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</si>
  <si>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</si>
  <si>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</si>
  <si>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</si>
  <si>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</si>
  <si>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</si>
  <si>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</si>
  <si>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</si>
  <si>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</si>
  <si>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</si>
  <si>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</si>
  <si>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</si>
  <si>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</si>
  <si>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</si>
  <si>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</si>
  <si>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</si>
  <si>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</si>
  <si>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</si>
  <si>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</si>
  <si>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</si>
  <si>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</si>
  <si>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</si>
  <si>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</si>
  <si>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</si>
  <si>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</si>
  <si>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</si>
  <si>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</si>
  <si>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</si>
  <si>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</si>
  <si>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</si>
  <si>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</si>
  <si>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</si>
  <si>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</si>
  <si>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</si>
  <si>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</si>
  <si>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</si>
  <si>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</si>
  <si>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</si>
  <si>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</si>
  <si>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</si>
  <si>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</si>
  <si>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</si>
  <si>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</si>
  <si>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</si>
  <si>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</si>
  <si>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</si>
  <si>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</si>
  <si>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</si>
  <si>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</si>
  <si>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</si>
  <si>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</si>
  <si>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</si>
  <si>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</si>
  <si>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</si>
  <si>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</si>
  <si>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</si>
  <si>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</si>
  <si>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</si>
  <si>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</si>
  <si>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</si>
  <si>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</si>
  <si>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</si>
  <si>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</si>
  <si>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xml:space="preserve">    - bežný účet pre študentské domovy</t>
  </si>
  <si>
    <t xml:space="preserve">    - bežný účet pre študentské jedálne</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</si>
  <si>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</si>
  <si>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</si>
  <si>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</si>
  <si>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</si>
  <si>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</si>
  <si>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</si>
  <si>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</si>
  <si>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</si>
  <si>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</si>
  <si>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</si>
  <si>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</si>
  <si>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</si>
  <si>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</si>
  <si>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</si>
  <si>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</si>
  <si>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</si>
  <si>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</si>
  <si>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</si>
  <si>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</si>
  <si>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</si>
  <si>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</si>
  <si>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</si>
  <si>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</si>
  <si>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</si>
  <si>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</si>
  <si>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</si>
  <si>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</si>
  <si>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</si>
  <si>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</si>
  <si>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</si>
  <si>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</si>
  <si>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</si>
  <si>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</si>
  <si>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</si>
  <si>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</si>
  <si>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</si>
  <si>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</si>
  <si>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</si>
  <si>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</si>
  <si>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</si>
  <si>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</si>
  <si>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</si>
  <si>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</si>
  <si>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</si>
  <si>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</si>
  <si>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</si>
  <si>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</si>
  <si>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</si>
  <si>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</si>
  <si>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</si>
  <si>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</si>
  <si>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</si>
  <si>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</si>
  <si>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</si>
  <si>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</si>
  <si>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</si>
  <si>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</si>
  <si>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</si>
  <si>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</si>
  <si>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</si>
  <si>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</si>
  <si>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</si>
  <si>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</si>
  <si>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</si>
  <si>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t>v tom:</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</si>
  <si>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</si>
  <si>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</si>
  <si>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</si>
  <si>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</si>
  <si>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</si>
  <si>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</si>
  <si>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</si>
  <si>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</si>
  <si>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</si>
  <si>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</si>
  <si>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</si>
  <si>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</si>
  <si>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</si>
  <si>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</si>
  <si>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</si>
  <si>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</si>
  <si>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</si>
  <si>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</si>
  <si>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</si>
  <si>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</si>
  <si>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</si>
  <si>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</si>
  <si>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</si>
  <si>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</si>
  <si>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</si>
  <si>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</si>
  <si>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</si>
  <si>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</si>
  <si>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</si>
  <si>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</si>
  <si>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</si>
  <si>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</si>
  <si>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</si>
  <si>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</si>
  <si>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</si>
  <si>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</si>
  <si>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</si>
  <si>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</si>
  <si>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</si>
  <si>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</si>
  <si>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</si>
  <si>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</si>
  <si>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</si>
  <si>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</si>
  <si>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</si>
  <si>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</si>
  <si>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</si>
  <si>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</si>
  <si>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</si>
  <si>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</si>
  <si>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</si>
  <si>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</si>
  <si>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</si>
  <si>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</si>
  <si>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</si>
  <si>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</si>
  <si>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</si>
  <si>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</si>
  <si>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</si>
  <si>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</si>
  <si>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</si>
  <si>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</si>
  <si>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</si>
  <si>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</si>
  <si>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</si>
  <si>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</si>
  <si>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</si>
  <si>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</si>
  <si>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</si>
  <si>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</si>
  <si>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</si>
  <si>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</si>
  <si>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</si>
  <si>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</si>
  <si>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</si>
  <si>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</si>
  <si>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</si>
  <si>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</si>
  <si>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</si>
  <si>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</si>
  <si>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</si>
  <si>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</si>
  <si>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</si>
  <si>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</si>
  <si>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</si>
  <si>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</si>
  <si>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</si>
  <si>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</si>
  <si>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</si>
  <si>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</si>
  <si>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</si>
  <si>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</si>
  <si>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</si>
  <si>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</si>
  <si>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</si>
  <si>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</si>
  <si>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</si>
  <si>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</si>
  <si>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</si>
  <si>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</si>
  <si>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</si>
  <si>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</si>
  <si>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</si>
  <si>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</si>
  <si>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</si>
  <si>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</si>
  <si>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</si>
  <si>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</si>
  <si>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</si>
  <si>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</si>
  <si>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</si>
  <si>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</si>
  <si>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</si>
  <si>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</si>
  <si>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</si>
  <si>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</si>
  <si>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</si>
  <si>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</si>
  <si>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</si>
  <si>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</si>
  <si>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</si>
  <si>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</si>
  <si>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</si>
  <si>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</si>
  <si>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</si>
  <si>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</si>
  <si>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</si>
  <si>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</si>
  <si>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</si>
  <si>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</si>
  <si>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</si>
  <si>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</si>
  <si>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</si>
  <si>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</si>
  <si>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</si>
  <si>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</si>
  <si>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</si>
  <si>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</si>
  <si>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</si>
  <si>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</si>
  <si>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</si>
  <si>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</si>
  <si>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</si>
  <si>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</si>
  <si>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</si>
  <si>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</si>
  <si>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</si>
  <si>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</si>
  <si>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</si>
  <si>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</si>
  <si>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</si>
  <si>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</si>
  <si>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</si>
  <si>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</si>
  <si>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</si>
  <si>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</si>
  <si>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</si>
  <si>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</si>
  <si>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</si>
  <si>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</si>
  <si>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</si>
  <si>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</si>
  <si>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</si>
  <si>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</si>
  <si>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</si>
  <si>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</si>
  <si>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</si>
  <si>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</si>
  <si>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</si>
  <si>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</si>
  <si>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</si>
  <si>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</si>
  <si>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</si>
  <si>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</si>
  <si>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</si>
  <si>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</si>
  <si>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</si>
  <si>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</si>
  <si>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</si>
  <si>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</si>
  <si>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</si>
  <si>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</si>
  <si>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</si>
  <si>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</si>
  <si>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</si>
  <si>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</si>
  <si>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</si>
  <si>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</si>
  <si>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</si>
  <si>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</si>
  <si>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</si>
  <si>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</si>
  <si>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</si>
  <si>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</si>
  <si>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</si>
  <si>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</si>
  <si>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</si>
  <si>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</si>
  <si>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</si>
  <si>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</si>
  <si>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</si>
  <si>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</si>
  <si>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</si>
  <si>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</si>
  <si>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</si>
  <si>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</si>
  <si>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</si>
  <si>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</si>
  <si>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</si>
  <si>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</si>
  <si>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</si>
  <si>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</si>
  <si>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</si>
  <si>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</si>
  <si>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</si>
  <si>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</si>
  <si>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</si>
  <si>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</si>
  <si>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</si>
  <si>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</si>
  <si>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</si>
  <si>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</si>
  <si>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</si>
  <si>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</si>
  <si>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</si>
  <si>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</si>
  <si>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</si>
  <si>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</si>
  <si>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</si>
  <si>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</si>
  <si>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</si>
  <si>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</si>
  <si>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</si>
  <si>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</si>
  <si>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</si>
  <si>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</si>
  <si>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</si>
  <si>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</si>
  <si>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</si>
  <si>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</si>
  <si>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</si>
  <si>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</si>
  <si>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</si>
  <si>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</si>
  <si>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</si>
  <si>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</si>
  <si>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</si>
  <si>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</si>
  <si>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</si>
  <si>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</si>
  <si>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</si>
  <si>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</si>
  <si>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</si>
  <si>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</si>
  <si>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</si>
  <si>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</si>
  <si>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</si>
  <si>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</si>
  <si>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</si>
  <si>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</si>
  <si>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</si>
  <si>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</si>
  <si>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</si>
  <si>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</si>
  <si>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</si>
  <si>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</si>
  <si>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</si>
  <si>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</si>
  <si>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</si>
  <si>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</si>
  <si>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</si>
  <si>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</si>
  <si>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</si>
  <si>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</si>
  <si>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</si>
  <si>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</si>
  <si>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</si>
  <si>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</si>
  <si>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</si>
  <si>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</si>
  <si>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</si>
  <si>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</si>
  <si>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</si>
  <si>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</si>
  <si>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</si>
  <si>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</si>
  <si>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</si>
  <si>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</si>
  <si>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</si>
  <si>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</si>
  <si>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</si>
  <si>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</si>
  <si>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</si>
  <si>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</si>
  <si>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</si>
  <si>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</si>
  <si>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</si>
  <si>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</si>
  <si>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</si>
  <si>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</si>
  <si>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</si>
  <si>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</si>
  <si>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</si>
  <si>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</si>
  <si>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</si>
  <si>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</si>
  <si>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</si>
  <si>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</si>
  <si>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</si>
  <si>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</si>
  <si>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</si>
  <si>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</si>
  <si>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</si>
  <si>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</si>
  <si>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</si>
  <si>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</si>
  <si>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</si>
  <si>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</si>
  <si>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</si>
  <si>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</si>
  <si>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</si>
  <si>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</si>
  <si>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</si>
  <si>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</si>
  <si>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</si>
  <si>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</si>
  <si>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</si>
  <si>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</si>
  <si>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</si>
  <si>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</si>
  <si>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</si>
  <si>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</si>
  <si>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</si>
  <si>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</si>
  <si>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</si>
  <si>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</si>
  <si>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</si>
  <si>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</si>
  <si>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</si>
  <si>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</si>
  <si>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</si>
  <si>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</si>
  <si>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</si>
  <si>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</si>
  <si>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</si>
  <si>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</si>
  <si>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</si>
  <si>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</si>
  <si>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</si>
  <si>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</si>
  <si>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</si>
  <si>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</si>
  <si>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</si>
  <si>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</si>
  <si>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</si>
  <si>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</si>
  <si>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</si>
  <si>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</si>
  <si>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</si>
  <si>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</si>
  <si>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</si>
  <si>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</si>
  <si>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</si>
  <si>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</si>
  <si>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 iné analyticky sledované náklady (účty 501 005-006, 501 013-018, 501 077)</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</si>
  <si>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</si>
  <si>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</si>
  <si>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</si>
  <si>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</si>
  <si>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</si>
  <si>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</si>
  <si>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</si>
  <si>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</si>
  <si>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</si>
  <si>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</si>
  <si>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</si>
  <si>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</si>
  <si>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</si>
  <si>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</si>
  <si>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</si>
  <si>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</si>
  <si>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</si>
  <si>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</si>
  <si>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</si>
  <si>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</si>
  <si>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</si>
  <si>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</si>
  <si>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</si>
  <si>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</si>
  <si>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</si>
  <si>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</si>
  <si>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</si>
  <si>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</si>
  <si>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</si>
  <si>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</si>
  <si>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</si>
  <si>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</si>
  <si>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</si>
  <si>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</si>
  <si>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</si>
  <si>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</si>
  <si>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</si>
  <si>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</si>
  <si>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</si>
  <si>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</si>
  <si>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</si>
  <si>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</si>
  <si>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</si>
  <si>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</si>
  <si>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</si>
  <si>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</si>
  <si>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</si>
  <si>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</si>
  <si>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</si>
  <si>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</si>
  <si>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</si>
  <si>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</si>
  <si>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</si>
  <si>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</si>
  <si>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</si>
  <si>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</si>
  <si>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</si>
  <si>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</si>
  <si>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</si>
  <si>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</si>
  <si>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</si>
  <si>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</si>
  <si>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</si>
  <si>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</si>
  <si>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</si>
  <si>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</si>
  <si>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</si>
  <si>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</si>
  <si>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</si>
  <si>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</si>
  <si>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</si>
  <si>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r>
      <t xml:space="preserve">z </t>
    </r>
    <r>
      <rPr>
        <b/>
        <sz val="12"/>
        <color indexed="17"/>
        <rFont val="Times New Roman"/>
        <family val="1"/>
        <charset val="238"/>
      </rPr>
      <t>neúčelovej</t>
    </r>
    <r>
      <rPr>
        <b/>
        <sz val="12"/>
        <color indexed="8"/>
        <rFont val="Times New Roman"/>
        <family val="1"/>
        <charset val="238"/>
      </rPr>
      <t xml:space="preserve"> dotácie MŠVVaŠ SR</t>
    </r>
  </si>
  <si>
    <t>E=A+B+C+D</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</si>
  <si>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</si>
  <si>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</si>
  <si>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</si>
  <si>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</si>
  <si>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</si>
  <si>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</si>
  <si>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</si>
  <si>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</si>
  <si>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Náklady na štipendiá interných doktorandov (R2+R5)</t>
    </r>
    <r>
      <rPr>
        <b/>
        <sz val="12"/>
        <color indexed="8"/>
        <rFont val="Times New Roman"/>
        <family val="1"/>
        <charset val="238"/>
      </rPr>
      <t xml:space="preserve"> </t>
    </r>
    <r>
      <rPr>
        <b/>
        <vertAlign val="superscript"/>
        <sz val="12"/>
        <color indexed="8"/>
        <rFont val="Times New Roman"/>
        <family val="1"/>
        <charset val="238"/>
      </rPr>
      <t>1)</t>
    </r>
  </si>
  <si>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</si>
  <si>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</si>
  <si>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 za prijímacie konanie (§ 92 ods. 12 zákona) (účet 649 003) </t>
  </si>
  <si>
    <t xml:space="preserve">- za rigorózne konanie (§ 92 ods. 13 zákona) (účet 649 004) </t>
  </si>
  <si>
    <t xml:space="preserve">- za vydanie diplomu za rigorózne konanie (§ 92 ods. 14 zákona)  (účet 649 005) </t>
  </si>
  <si>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</si>
  <si>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</si>
  <si>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</si>
  <si>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 xml:space="preserve">  - náklady na štipendiá interných doktorandov pred dizertačnou skúškou 
(v zmysle § 54 ods. 18 písm. a) zákona </t>
    </r>
    <r>
      <rPr>
        <u/>
        <sz val="12"/>
        <color indexed="8"/>
        <rFont val="Times New Roman"/>
        <family val="1"/>
        <charset val="238"/>
      </rPr>
      <t>spolu</t>
    </r>
    <r>
      <rPr>
        <sz val="12"/>
        <color indexed="8"/>
        <rFont val="Times New Roman"/>
        <family val="1"/>
        <charset val="238"/>
      </rPr>
      <t xml:space="preserve"> (SUM(R3:R4))</t>
    </r>
  </si>
  <si>
    <r>
      <t xml:space="preserve">  - náklady na štipendiá interných doktorandov po dizertačnej skúške 
(v zmysle § 54 ods. 18 písm. b) zákona</t>
    </r>
    <r>
      <rPr>
        <u/>
        <sz val="12"/>
        <color indexed="8"/>
        <rFont val="Times New Roman"/>
        <family val="1"/>
        <charset val="238"/>
      </rPr>
      <t xml:space="preserve"> spolu</t>
    </r>
    <r>
      <rPr>
        <sz val="12"/>
        <color indexed="8"/>
        <rFont val="Times New Roman"/>
        <family val="1"/>
        <charset val="238"/>
      </rPr>
      <t xml:space="preserve"> (SUM(R6:R7))</t>
    </r>
  </si>
  <si>
    <r>
      <t xml:space="preserve">Dotácie z kapitoly MŠVVaŠ SR spolu </t>
    </r>
    <r>
      <rPr>
        <sz val="12"/>
        <rFont val="Times New Roman"/>
        <family val="1"/>
        <charset val="238"/>
      </rPr>
      <t>[R1+R4]</t>
    </r>
  </si>
  <si>
    <t>9a</t>
  </si>
  <si>
    <r>
      <t xml:space="preserve">Dotácie z iných kapitol spolu </t>
    </r>
    <r>
      <rPr>
        <sz val="12"/>
        <rFont val="Times New Roman"/>
        <family val="1"/>
        <charset val="238"/>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</si>
  <si>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</si>
  <si>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</si>
  <si>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</si>
  <si>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</si>
  <si>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T5_3
</t>
  </si>
  <si>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</si>
  <si>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</si>
  <si>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</si>
  <si>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</si>
  <si>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</si>
  <si>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</si>
  <si>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</si>
  <si>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</si>
  <si>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</si>
  <si>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</si>
  <si>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</si>
  <si>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</si>
  <si>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</si>
  <si>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</si>
  <si>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</si>
  <si>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</si>
  <si>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</si>
  <si>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</si>
  <si>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</si>
  <si>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</si>
  <si>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r>
      <t>- fondu reprodukcie (účet 656 400)</t>
    </r>
    <r>
      <rPr>
        <vertAlign val="superscript"/>
        <sz val="12"/>
        <color indexed="8"/>
        <rFont val="Times New Roman"/>
        <family val="1"/>
      </rPr>
      <t xml:space="preserve"> 2)</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</si>
  <si>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</si>
  <si>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</si>
  <si>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</si>
  <si>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</si>
  <si>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</si>
  <si>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</si>
  <si>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</si>
  <si>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</si>
  <si>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</si>
  <si>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</si>
  <si>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</si>
  <si>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</si>
  <si>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</si>
  <si>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</si>
  <si>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</si>
  <si>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</si>
  <si>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</si>
  <si>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</si>
  <si>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</si>
  <si>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</si>
  <si>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</si>
  <si>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</si>
  <si>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</si>
  <si>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</si>
  <si>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</si>
  <si>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</si>
  <si>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z účelovej dotácie MŠVVaŠ SR
(kódy 10, 11)</t>
  </si>
  <si>
    <t>DrŠ</t>
  </si>
  <si>
    <t xml:space="preserve">  - náklady na štipendiá vo výške 9. platovej triedy a 1. platového stupňa 
( v CRŠ kód 10 )</t>
  </si>
  <si>
    <t xml:space="preserve">  - náklady na štipendiá vo výške 10. platovej triedy a 1. platového stupňa 
( v CRŠ kód 11 )</t>
  </si>
  <si>
    <t>zvýšenie PhD. štipendia z Neúčel D MSSR</t>
  </si>
  <si>
    <t>T4_R3</t>
  </si>
  <si>
    <t>T4_R5</t>
  </si>
  <si>
    <t>- iné analyticky sledované náklady (účet 511 006-008, 511 056)</t>
  </si>
  <si>
    <t xml:space="preserve"> - poistné náklady (havarijné, majetok, na študentov) (účet 549 004, 549 014, 549 015, 549 054)</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</si>
  <si>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</si>
  <si>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Priemerné platy</t>
  </si>
  <si>
    <t>I=H/D/12</t>
  </si>
  <si>
    <t>- vysokoškolskí učitelia s funkčným zaradením "profesor"                 *)</t>
  </si>
  <si>
    <t>*) medzi profesorov sa započítava aj funkčné zaradenie "hosťujúci profesor"</t>
  </si>
  <si>
    <r>
      <t xml:space="preserve">Kategória zamestnancov - </t>
    </r>
    <r>
      <rPr>
        <b/>
        <sz val="12"/>
        <color indexed="10"/>
        <rFont val="Times New Roman"/>
        <family val="1"/>
        <charset val="238"/>
      </rPr>
      <t>žien</t>
    </r>
    <r>
      <rPr>
        <b/>
        <sz val="12"/>
        <rFont val="Times New Roman"/>
        <family val="1"/>
      </rPr>
      <t xml:space="preserve">
</t>
    </r>
  </si>
  <si>
    <t>Tabuľka 6a</t>
  </si>
  <si>
    <t>náklady na mzdy žien</t>
  </si>
  <si>
    <t>- za prekročenie štandardnej dĺžky štúdia v dennej forme (§ 92 ods. 6) (649 001)</t>
  </si>
  <si>
    <t>- za externú formu štúdia (§ 92 ods. 4) (649 020)</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</si>
  <si>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</si>
  <si>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</si>
  <si>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</si>
  <si>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</si>
  <si>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</si>
  <si>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</si>
  <si>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</si>
  <si>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</si>
  <si>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</si>
  <si>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</si>
  <si>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</si>
  <si>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</si>
  <si>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Stav fondu k 1. 1. kalendárneho roku  v R1 sa  rovná stavu fondu k 31.12. predchádzajúceho roku v R12.</t>
  </si>
  <si>
    <t>T17_R8</t>
  </si>
  <si>
    <r>
      <t>K=A+C+E+</t>
    </r>
    <r>
      <rPr>
        <sz val="12"/>
        <color indexed="10"/>
        <rFont val="Times New Roman"/>
        <family val="1"/>
        <charset val="238"/>
      </rPr>
      <t>G</t>
    </r>
    <r>
      <rPr>
        <sz val="12"/>
        <color indexed="8"/>
        <rFont val="Times New Roman"/>
        <family val="1"/>
        <charset val="238"/>
      </rPr>
      <t>+I</t>
    </r>
  </si>
  <si>
    <r>
      <t>L=B+D+F+</t>
    </r>
    <r>
      <rPr>
        <sz val="12"/>
        <color indexed="10"/>
        <rFont val="Times New Roman"/>
        <family val="1"/>
        <charset val="238"/>
      </rPr>
      <t>H</t>
    </r>
    <r>
      <rPr>
        <sz val="12"/>
        <color indexed="8"/>
        <rFont val="Times New Roman"/>
        <family val="1"/>
        <charset val="238"/>
      </rPr>
      <t>+J</t>
    </r>
  </si>
  <si>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</si>
  <si>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</si>
  <si>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</si>
  <si>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</si>
  <si>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</si>
  <si>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</si>
  <si>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t>- za vydanie dokladov o absolvovaní štúdia v štátnom jazyku a v jazyku požadovanom študentom a ich kópií  (§ 92 ods. 15 zákona) (účet 649 024)</t>
  </si>
  <si>
    <r>
      <t xml:space="preserve"> - za uznávanie rovnocennosti dokladov o štúdiu (§ 92 ods. 15 zákona) (účet 649 025) </t>
    </r>
    <r>
      <rPr>
        <vertAlign val="superscript"/>
        <sz val="12"/>
        <rFont val="Times New Roman"/>
        <family val="1"/>
        <charset val="238"/>
      </rPr>
      <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</si>
  <si>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</si>
  <si>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r>
      <t xml:space="preserve"> - cudzinci podľa prechodných ustanovení </t>
    </r>
    <r>
      <rPr>
        <vertAlign val="superscript"/>
        <sz val="12"/>
        <color theme="1"/>
        <rFont val="Times New Roman"/>
        <family val="1"/>
      </rPr>
      <t>1)</t>
    </r>
  </si>
  <si>
    <r>
      <t xml:space="preserve">Spolu </t>
    </r>
    <r>
      <rPr>
        <sz val="12"/>
        <rFont val="Times New Roman"/>
        <family val="1"/>
      </rPr>
      <t>[R1+R14+R21+R22+R27+R35+R38+R39+R55+SUM (R61:R63) +SUM (R70:R74)+R84+R93+R94]</t>
    </r>
  </si>
  <si>
    <t>Náklady
hlavnej činnosti
2015</t>
  </si>
  <si>
    <t>T6a_V1</t>
  </si>
  <si>
    <t>T3_R21_SA (SC) = T4_R1_SA (SB),
T3_R22_SA (SC) = T4_R7_SA (SB)</t>
  </si>
  <si>
    <t>T13_R9_SF = T4_R15_SB</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</si>
  <si>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</si>
  <si>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</si>
  <si>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</si>
  <si>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</si>
  <si>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</si>
  <si>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</si>
  <si>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</si>
  <si>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 xml:space="preserve"> na miestach pridelených MŠVVaŠ SR
pred 1.9. 2012</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</si>
  <si>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</si>
  <si>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</si>
  <si>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</si>
  <si>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z toho PČ (jednou sumou z R15,SG)</t>
  </si>
  <si>
    <r>
      <t xml:space="preserve">  - náklady na časť štipendia prevyšujúce 9. platovú triedu a 1. platový stupeň   </t>
    </r>
    <r>
      <rPr>
        <i/>
        <sz val="12"/>
        <rFont val="Times New Roman"/>
        <family val="1"/>
        <charset val="238"/>
      </rPr>
      <t>(kód 16)</t>
    </r>
  </si>
  <si>
    <r>
      <t xml:space="preserve">  - náklady na časť štipendia prevyšujúce 10. platovú triedu a 1. platový stupeň </t>
    </r>
    <r>
      <rPr>
        <i/>
        <sz val="12"/>
        <rFont val="Times New Roman"/>
        <family val="1"/>
        <charset val="238"/>
      </rPr>
      <t xml:space="preserve"> (kód 16)</t>
    </r>
  </si>
  <si>
    <t>T16_R18_SB = výkazníctvo, súvaha, časť Aktíva, riadok 053,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</si>
  <si>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</si>
  <si>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</si>
  <si>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Tabuľka č. 7 poskytuje informácie o  počte interných doktorandov, o nákladoch vysokej školy na štipendiá doktorandov a o ich krytí výnosmi.</t>
  </si>
  <si>
    <t>V stĺpci SA, resp. SC sa uvedú výdavky z dotácie na sociálne štipendiá poskytnuté študentom v danom kalendárnom roku, uvedené v Centrálnom registri študentov pod kódom 1.</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</si>
  <si>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</si>
  <si>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</si>
  <si>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</si>
  <si>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</si>
  <si>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</si>
  <si>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 xml:space="preserve"> - za cudzojazyčné štúdium dennou formou (§ 92 ods. 8 a 9) (649 002, 649 023)</t>
  </si>
  <si>
    <t>- za súbežné štúdium v dennej forme  (§ 92 ods. 5, 649 026)</t>
  </si>
  <si>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</si>
  <si>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</si>
  <si>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</si>
  <si>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</si>
  <si>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</si>
  <si>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</si>
  <si>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</si>
  <si>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</si>
  <si>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r>
      <t>na miestach nepridelených MŠVVaŠ SR do 31.8.2012</t>
    </r>
    <r>
      <rPr>
        <b/>
        <sz val="12"/>
        <color indexed="10"/>
        <rFont val="Times New Roman"/>
        <family val="1"/>
        <charset val="238"/>
      </rPr>
      <t xml:space="preserve">
 kódy (12 - 17)</t>
    </r>
  </si>
  <si>
    <r>
      <t xml:space="preserve">na miestach nepridelených MŠVVaŠ SR po 1.9.2012 </t>
    </r>
    <r>
      <rPr>
        <b/>
        <sz val="12"/>
        <color indexed="10"/>
        <rFont val="Times New Roman"/>
        <family val="1"/>
        <charset val="238"/>
      </rPr>
      <t xml:space="preserve">
</t>
    </r>
    <r>
      <rPr>
        <b/>
        <sz val="12"/>
        <color indexed="12"/>
        <rFont val="Times New Roman"/>
        <family val="1"/>
        <charset val="238"/>
      </rPr>
      <t>kódy (12 - 17)</t>
    </r>
  </si>
  <si>
    <t>L= G+H+I+J+K</t>
  </si>
  <si>
    <t>-za dosiahnutie vynikajúceho výsledku v oblasti štúdia [R6+R7]</t>
  </si>
  <si>
    <r>
      <t xml:space="preserve">  - poskytované mesačne </t>
    </r>
    <r>
      <rPr>
        <vertAlign val="superscript"/>
        <sz val="12"/>
        <color rgb="FFFF0000"/>
        <rFont val="Times New Roman"/>
        <family val="1"/>
      </rPr>
      <t>1)</t>
    </r>
  </si>
  <si>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</si>
  <si>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</si>
  <si>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</si>
  <si>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r>
      <t xml:space="preserve">Štipendiá z vlastných zdrojov vysokej školy (§ 97 zákona) spolu </t>
    </r>
    <r>
      <rPr>
        <sz val="12"/>
        <rFont val="Times New Roman"/>
        <family val="1"/>
        <charset val="238"/>
      </rPr>
      <t xml:space="preserve">[R2+R5+R8+R11+R14] </t>
    </r>
  </si>
  <si>
    <r>
      <t>T13_R5_SC=T5_R90_(SA+S</t>
    </r>
    <r>
      <rPr>
        <b/>
        <sz val="12"/>
        <color rgb="FF00B0F0"/>
        <rFont val="Times New Roman"/>
        <family val="1"/>
        <charset val="238"/>
      </rPr>
      <t>B</t>
    </r>
    <r>
      <rPr>
        <sz val="12"/>
        <rFont val="Times New Roman"/>
        <family val="1"/>
        <charset val="238"/>
      </rPr>
      <t>)
T13_R5_SD=T5_R90_(SC+SD)</t>
    </r>
  </si>
  <si>
    <t>Súvzťažnosti tabuliek výročnej správy o hospodárení verejnej vysokej školy za rok 2016</t>
  </si>
  <si>
    <r>
      <t xml:space="preserve">Výnosy sú kontrolované na údaje z výkazníctva - výkaz ziskov a strát, časť </t>
    </r>
    <r>
      <rPr>
        <b/>
        <sz val="12"/>
        <rFont val="Times New Roman"/>
        <family val="1"/>
        <charset val="238"/>
      </rPr>
      <t>výnosy</t>
    </r>
    <r>
      <rPr>
        <sz val="12"/>
        <rFont val="Times New Roman"/>
        <family val="1"/>
        <charset val="238"/>
      </rPr>
      <t>. 
Údaje v T3 z roku 2015</t>
    </r>
    <r>
      <rPr>
        <sz val="12"/>
        <color indexed="10"/>
        <rFont val="Times New Roman"/>
        <family val="1"/>
        <charset val="238"/>
      </rPr>
      <t xml:space="preserve"> </t>
    </r>
    <r>
      <rPr>
        <sz val="12"/>
        <rFont val="Times New Roman"/>
        <family val="1"/>
        <charset val="238"/>
      </rPr>
      <t xml:space="preserve"> a údaje z roku 2016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T3_R21, R22 sa taktiež kontrolujú na T4_R1_SB a T4_R</t>
    </r>
    <r>
      <rPr>
        <sz val="12"/>
        <color indexed="10"/>
        <rFont val="Times New Roman"/>
        <family val="1"/>
        <charset val="238"/>
      </rPr>
      <t>7</t>
    </r>
    <r>
      <rPr>
        <sz val="12"/>
        <rFont val="Times New Roman"/>
        <family val="1"/>
        <charset val="238"/>
      </rPr>
      <t>_SB.</t>
    </r>
  </si>
  <si>
    <r>
      <t>T6_R1..R6, R7, R9, R13, R14, R16, R17 = Škol 2-04 za 2016</t>
    </r>
    <r>
      <rPr>
        <sz val="12"/>
        <color indexed="10"/>
        <rFont val="Times New Roman"/>
        <family val="1"/>
        <charset val="238"/>
      </rPr>
      <t xml:space="preserve">, </t>
    </r>
    <r>
      <rPr>
        <sz val="12"/>
        <rFont val="Times New Roman"/>
        <family val="1"/>
        <charset val="238"/>
      </rPr>
      <t xml:space="preserve">
T6_R15a.. = dotačná zmluva na 2016, špecifiká</t>
    </r>
  </si>
  <si>
    <r>
      <t>Údaj v T8_R4_SA predstavuje zostatok nevyčerpanej dotácie z predchádzajúceho roka, t. j. k 31. 12. 2015</t>
    </r>
    <r>
      <rPr>
        <sz val="12"/>
        <color indexed="10"/>
        <rFont val="Times New Roman"/>
        <family val="1"/>
        <charset val="238"/>
      </rPr>
      <t xml:space="preserve"> </t>
    </r>
    <r>
      <rPr>
        <sz val="12"/>
        <rFont val="Times New Roman"/>
        <family val="1"/>
        <charset val="238"/>
      </rPr>
      <t>.  
Údaj v T8_R6_SA (SC) predstavuje zostatok nevyčerpanej dotácie k 31. 12. príslušného roka (2015</t>
    </r>
    <r>
      <rPr>
        <sz val="12"/>
        <color indexed="10"/>
        <rFont val="Times New Roman"/>
        <family val="1"/>
        <charset val="238"/>
      </rPr>
      <t>,</t>
    </r>
    <r>
      <rPr>
        <sz val="12"/>
        <rFont val="Times New Roman"/>
        <family val="1"/>
        <charset val="238"/>
      </rPr>
      <t xml:space="preserve"> resp. 2016) a ich hodnoty sa vypočítajú z ostatných uvedených údajov. Zostatok nevyčerpanej dotácie k 31. 12. 2015 je totožný  s údajmi vykazovanými v tabuľke T8 výročnej správy za rok 2015.</t>
    </r>
  </si>
  <si>
    <t>T10_R12 = štatistické výkazy MŠVVaŠ SR 2015 (2016)</t>
  </si>
  <si>
    <r>
      <t xml:space="preserve">Údaje v T11_R2 - tvorba fondu reprodukcie za roky 2015 a 2016 sa musia rovnať údajom v T13_R2_SC (SD). 
</t>
    </r>
    <r>
      <rPr>
        <strike/>
        <sz val="12"/>
        <rFont val="Times New Roman"/>
        <family val="1"/>
        <charset val="238"/>
      </rPr>
      <t/>
    </r>
  </si>
  <si>
    <r>
      <t>Stavy fondov k 1.1. a k 31.12.2016</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</si>
  <si>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r>
      <t>Tvorba fondu reprodukcie z odpisov v roku 20</t>
    </r>
    <r>
      <rPr>
        <sz val="12"/>
        <color indexed="10"/>
        <rFont val="Times New Roman"/>
        <family val="1"/>
        <charset val="238"/>
      </rPr>
      <t>16</t>
    </r>
    <r>
      <rPr>
        <sz val="12"/>
        <rFont val="Times New Roman"/>
        <family val="1"/>
        <charset val="238"/>
      </rPr>
      <t xml:space="preserve"> sa rovná odpisom ostatného DN a HM za rok 2016 </t>
    </r>
    <r>
      <rPr>
        <sz val="12"/>
        <color indexed="8"/>
        <rFont val="Times New Roman"/>
        <family val="1"/>
        <charset val="238"/>
      </rPr>
      <t>(T5_R86_SC+SD)</t>
    </r>
  </si>
  <si>
    <r>
      <t>Globálna hodnota na bankových účtoch z R18 sa kontroluje na Súvahu, časť Aktíva, r. 053.
Ak nie je údaj v R2 (dotačný účet) k 31. 12. 2016</t>
    </r>
    <r>
      <rPr>
        <sz val="12"/>
        <color indexed="10"/>
        <rFont val="Times New Roman"/>
        <family val="1"/>
        <charset val="238"/>
      </rPr>
      <t xml:space="preserve">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</si>
  <si>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2016. </t>
  </si>
  <si>
    <t xml:space="preserve">T21_R1_SF  = výkazníctvo 2015 súvaha, časť pasíva, riadok 103, predchádzajúce účtovné obdobie
T21_R1_SL = výkazníctvo 2016, súvaha, časť pasíva, riadok 103, bežné účtovné obdobie </t>
  </si>
  <si>
    <r>
      <t>Zmeny tabuliek výročnej správy o hospodárení za rok 2016</t>
    </r>
    <r>
      <rPr>
        <b/>
        <sz val="14"/>
        <color indexed="10"/>
        <rFont val="Times New Roman"/>
        <family val="1"/>
        <charset val="238"/>
      </rPr>
      <t xml:space="preserve"> </t>
    </r>
    <r>
      <rPr>
        <b/>
        <sz val="14"/>
        <rFont val="Times New Roman"/>
        <family val="1"/>
        <charset val="238"/>
      </rPr>
      <t>v porovnaní s rokom 2015</t>
    </r>
  </si>
  <si>
    <t xml:space="preserve">príjmy verejnej vysokej školy  v roku 2016 majúce charakter dotácie </t>
  </si>
  <si>
    <r>
      <t>výnosy verejnej vysokej školy v roku 2016</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</si>
  <si>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2016</t>
    </r>
    <r>
      <rPr>
        <sz val="12"/>
        <color rgb="FFFF000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</si>
  <si>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2016</t>
  </si>
  <si>
    <r>
      <t xml:space="preserve">Ak nie je uvedené inak, všetky údaje o výške finančných prostriedkov  z roku 2015 a 2016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</si>
  <si>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2016.</t>
    </r>
  </si>
  <si>
    <r>
      <t xml:space="preserve">Tabuľka č. 3 poskytuje informácie o objeme a štruktúre výnosov  verejnej vysokej školy v rokoch 2015 a 2016.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</si>
  <si>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r>
      <t>Minimálna výška prídelu do štipendijného fondu v roku 2015 a 2016</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</si>
  <si>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2015</t>
    </r>
    <r>
      <rPr>
        <b/>
        <sz val="12"/>
        <color indexed="10"/>
        <rFont val="Times New Roman"/>
        <family val="1"/>
        <charset val="238"/>
      </rPr>
      <t xml:space="preserve"> </t>
    </r>
    <r>
      <rPr>
        <b/>
        <sz val="12"/>
        <rFont val="Times New Roman"/>
        <family val="1"/>
        <charset val="238"/>
      </rPr>
      <t xml:space="preserve">a  2016.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</si>
  <si>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2016.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</si>
  <si>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V stĺpcoch A, B, C uvedie vysoká škola priemerný evidenčný prepočítaný počet zamestnancov za rok 2016</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</si>
  <si>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2016</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</si>
  <si>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2016</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</si>
  <si>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r>
      <t>Príspevok na jedno jedlo zo štátneho rozpočtu bol po celý rok  2016</t>
    </r>
    <r>
      <rPr>
        <b/>
        <sz val="12"/>
        <color indexed="8"/>
        <rFont val="Times New Roman"/>
        <family val="1"/>
        <charset val="238"/>
      </rPr>
      <t xml:space="preserve"> vo výške  1 euro. </t>
    </r>
  </si>
  <si>
    <r>
      <t>Uvedie sa objem prijatej kapitálovej dotácie z rozpočtu kapitoly MŠVVaŠ SR a z iných rozpočtových kapitol v roku 2016</t>
    </r>
    <r>
      <rPr>
        <sz val="12"/>
        <color indexed="10"/>
        <rFont val="Times New Roman"/>
        <family val="1"/>
        <charset val="238"/>
      </rPr>
      <t xml:space="preserve"> </t>
    </r>
    <r>
      <rPr>
        <sz val="12"/>
        <color indexed="8"/>
        <rFont val="Times New Roman"/>
        <family val="1"/>
        <charset val="238"/>
      </rPr>
      <t>zo zdroja 111 (kapitálová dotácia, ktorá bola verejnej vysokej škole poukázaná na účet (cash) v sledovanom období,  účet 346002 - strana DAL)</t>
    </r>
  </si>
  <si>
    <r>
      <t>Uvedie sa zostatok kapitálovej dotácie na obstaranie a technické zhodnotenie dlhodobého majetku (nevyčerpané finančné  prostriedky k 31. 12. 2015</t>
    </r>
    <r>
      <rPr>
        <sz val="12"/>
        <color indexed="10"/>
        <rFont val="Times New Roman"/>
        <family val="1"/>
        <charset val="238"/>
      </rPr>
      <t xml:space="preserve"> </t>
    </r>
    <r>
      <rPr>
        <sz val="12"/>
        <color indexed="8"/>
        <rFont val="Times New Roman"/>
        <family val="1"/>
        <charset val="238"/>
      </rPr>
      <t>(stĺpec SA v R11), resp. k 31. 12. 2016 (stĺpec SB v R11) na zdrojoch 131x, 13S1, 13S2, 13T1,13T2.....(zostatky zo ŠR aj zo ŠF)</t>
    </r>
  </si>
  <si>
    <t>Tabuľka č. 12 poskytuje informácie o štruktúre a objeme výdavkov, ktoré verejná vysoká škola  použila na obstaranie a technické zhodnotenie dlhodobého majetku v roku 2016.</t>
  </si>
  <si>
    <r>
      <t>Výdavky na obstaranie majetku kryté v priebehu roku 2016</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</si>
  <si>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2015 a 2016.</t>
  </si>
  <si>
    <r>
      <t>Uvedú sa sumárne stavy ostatných  fondov, ktoré vysoká škola vytvorila za roky 2015</t>
    </r>
    <r>
      <rPr>
        <sz val="12"/>
        <color indexed="10"/>
        <rFont val="Times New Roman"/>
        <family val="1"/>
        <charset val="238"/>
      </rPr>
      <t xml:space="preserve"> </t>
    </r>
    <r>
      <rPr>
        <sz val="12"/>
        <rFont val="Times New Roman"/>
        <family val="1"/>
        <charset val="238"/>
      </rPr>
      <t>a 2016 v zmysle §16a ods. 1 zákona č. 131/2002 Z. z. o vysokých školách v znení neskorších predpisov.</t>
    </r>
  </si>
  <si>
    <t>Tabuľka č. 16 poskytuje informácie o objeme a štruktúre finančných prostriedkov na bankových účtoch verejnej vysokej školy  k 31. 12. 2016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</si>
  <si>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r>
      <t>Ak má VVŠ finančné prostriedky zaúčtované na účte 261 - peniaze na ceste, z dôvodu kontroly stavu na bankových účtoch k 31. 12. 2016</t>
    </r>
    <r>
      <rPr>
        <sz val="12"/>
        <color rgb="FFFF0000"/>
        <rFont val="Times New Roman"/>
        <family val="1"/>
        <charset val="238"/>
      </rPr>
      <t xml:space="preserve"> </t>
    </r>
    <r>
      <rPr>
        <sz val="12"/>
        <rFont val="Times New Roman"/>
        <family val="1"/>
        <charset val="238"/>
      </rPr>
      <t xml:space="preserve">na údaje zo súvahy, uvedie ich v tomto riadku. </t>
    </r>
  </si>
  <si>
    <t xml:space="preserve">Ak VVŠ obdržala finančné prostriedky aj z inej kapitoly štátneho rozpočtu, uvádzajú sa osobitne. Tieto dotácie sa evidujú na zdrojoch podľa platnej rozpočtovej klasifikácie na rok 2016 a nie sú súčasťou dotácií, vykazovaných v T2_R1.  </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</si>
  <si>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2016</t>
    </r>
    <r>
      <rPr>
        <b/>
        <sz val="14"/>
        <color rgb="FFFF0000"/>
        <rFont val="Times New Roman"/>
        <family val="1"/>
        <charset val="238"/>
      </rPr>
      <t xml:space="preserve">  </t>
    </r>
    <r>
      <rPr>
        <b/>
        <sz val="14"/>
        <rFont val="Times New Roman"/>
        <family val="1"/>
      </rPr>
      <t xml:space="preserve">na programe 077 </t>
    </r>
  </si>
  <si>
    <r>
      <t>Tabuľka č. 2: Príjmy verejnej vysokej školy v roku 2016</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</si>
  <si>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2015 a 2016</t>
  </si>
  <si>
    <t>Rozdiel 2016-2015</t>
  </si>
  <si>
    <r>
      <t>Tabuľka č. 4: Výnosy verejnej vysokej školy zo školného a z poplatkov spojených so štúdiom  
v rokoch 2015</t>
    </r>
    <r>
      <rPr>
        <b/>
        <sz val="14"/>
        <color rgb="FFFF0000"/>
        <rFont val="Times New Roman"/>
        <family val="1"/>
        <charset val="238"/>
      </rPr>
      <t xml:space="preserve"> </t>
    </r>
    <r>
      <rPr>
        <b/>
        <sz val="14"/>
        <rFont val="Times New Roman"/>
        <family val="1"/>
        <charset val="238"/>
      </rPr>
      <t>a 2016</t>
    </r>
    <r>
      <rPr>
        <b/>
        <sz val="14"/>
        <color rgb="FFFF0000"/>
        <rFont val="Times New Roman"/>
        <family val="1"/>
        <charset val="238"/>
      </rPr>
      <t xml:space="preserve"> </t>
    </r>
  </si>
  <si>
    <t>Tabuľka č. 5: Náklady verejnej vysokej školy v rokoch 2015 a 2016</t>
  </si>
  <si>
    <t>Priemerný evidenčný prepočítaný počet zamestnancov za rok 2016</t>
  </si>
  <si>
    <t>Tabuľka č. 6: Zamestnanci a náklady na mzdy verejnej vysokej školy v roku 2016</t>
  </si>
  <si>
    <r>
      <t>Tabuľka č. 6a: Zamestnanci a náklady na mzdy verejnej vysokej školy v roku 2016</t>
    </r>
    <r>
      <rPr>
        <b/>
        <sz val="14"/>
        <color rgb="FFFF0000"/>
        <rFont val="Times New Roman"/>
        <family val="1"/>
        <charset val="238"/>
      </rPr>
      <t xml:space="preserve"> </t>
    </r>
    <r>
      <rPr>
        <b/>
        <sz val="14"/>
        <rFont val="Times New Roman"/>
        <family val="1"/>
        <charset val="238"/>
      </rPr>
      <t xml:space="preserve">  -   len  ženy</t>
    </r>
    <r>
      <rPr>
        <b/>
        <sz val="14"/>
        <color indexed="10"/>
        <rFont val="Times New Roman"/>
        <family val="1"/>
        <charset val="238"/>
      </rPr>
      <t xml:space="preserve">  a výpočet priemerného platu mužov</t>
    </r>
  </si>
  <si>
    <r>
      <t xml:space="preserve">Priemerný evidenčný prepočítaný počet </t>
    </r>
    <r>
      <rPr>
        <b/>
        <sz val="12"/>
        <rFont val="Times New Roman"/>
        <family val="1"/>
        <charset val="238"/>
      </rPr>
      <t>žien</t>
    </r>
    <r>
      <rPr>
        <b/>
        <sz val="12"/>
        <rFont val="Times New Roman"/>
        <family val="1"/>
      </rPr>
      <t xml:space="preserve"> za rok 2016</t>
    </r>
  </si>
  <si>
    <t xml:space="preserve">Tabuľka č. 7: Náklady verejnej vysokej školy na štipendiá interných doktorandov v roku 2016 </t>
  </si>
  <si>
    <t>v januári  2017 za december 2016</t>
  </si>
  <si>
    <t>Tabuľka č. 8: Údaje o systéme sociálnej podpory - časť  sociálne štipendiá  (§ 96 zákona) 
za roky 2015 a 2016</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</si>
  <si>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2015 a 2016</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</si>
  <si>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2015 a 2016 </t>
    </r>
  </si>
  <si>
    <t>Tabuľka č. 11: Zdroje verejnej vysokej školy na obstaranie a technické zhodnotenie dlhodobého  majetku v rokoch 2015 a 2016</t>
  </si>
  <si>
    <t>Tabuľka č. 12: Výdavky verejnej vysokej školy na obstaranie a technické zhodnotenie dlhodobého majetku v roku 2016</t>
  </si>
  <si>
    <t>Čerpanie kapitálovej dotácie v roku 2016
zo štátneho rozpočtu</t>
  </si>
  <si>
    <r>
      <t xml:space="preserve">Čerpanie kapitálovej dotácie v roku 2016
</t>
    </r>
    <r>
      <rPr>
        <b/>
        <sz val="11"/>
        <color indexed="8"/>
        <rFont val="Times New Roman"/>
        <family val="1"/>
      </rPr>
      <t>z prostriedkov EÚ (štrukturálnych fondov)</t>
    </r>
  </si>
  <si>
    <t xml:space="preserve">Čerpanie bežnej dotácie v roku 2016 prostredníctvom fondu reprodukcie </t>
  </si>
  <si>
    <t>Tabuľka č. 13: Stav a vývoj finančných fondov verejnej vysokej školy v rokoch 2015 a 2016</t>
  </si>
  <si>
    <t>Tabuľka č. 16: Štruktúra a stav finančných prostriedkov na bankových účtoch verejnej vysokej školy
   k 31. decembru 2016</t>
  </si>
  <si>
    <t>Stav účtu k 31.12.2016</t>
  </si>
  <si>
    <t>Tabuľka č. 17: Príjmy verejnej vysokej školy z prostriedkov EÚ a z prostriedkov na ich spolufinancovanie 
zo štátneho rozpočtu z kapitoly MŠVVaŠ SR a z iných kapitol štátneho rozpočtu v roku 2016</t>
  </si>
  <si>
    <r>
      <t>Tabuľka č. 18: Príjmy z dotácií verejnej vysokej škole zo štátneho rozpočtu z kapitoly MŠVVaŠ SR 
poskytnuté mimo programu 077 a mimo príjmov z prostriedkov EÚ (zo štrukturálnych fondov) v roku 2016</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</si>
  <si>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2015 a 2016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</si>
  <si>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2015 a 2016</t>
    </r>
    <r>
      <rPr>
        <b/>
        <sz val="14"/>
        <color rgb="FFFF0000"/>
        <rFont val="Times New Roman"/>
        <family val="1"/>
        <charset val="238"/>
      </rPr>
      <t xml:space="preserve"> </t>
    </r>
  </si>
  <si>
    <t>Stav k 31. 12. 2015</t>
  </si>
  <si>
    <t>Stav k 31. 12. 2016</t>
  </si>
  <si>
    <t xml:space="preserve">Tabuľka č. 22: Výnosy verejnej vysokej školy v roku 2016 v oblasti sociálnej podpory študentov </t>
  </si>
  <si>
    <t>Výnosy
v hlavnej činnosti
2015</t>
  </si>
  <si>
    <r>
      <t>Výnosy
hlavnej činnosti
2016</t>
    </r>
    <r>
      <rPr>
        <sz val="12"/>
        <color indexed="10"/>
        <rFont val="Times New Roman"/>
        <family val="1"/>
        <charset val="238"/>
      </rPr>
      <t xml:space="preserve"> </t>
    </r>
  </si>
  <si>
    <t xml:space="preserve">Tabuľka č .23:  Náklady verejnej vysokej školy  v roku 2016 v oblasti sociálnej podpory študentov </t>
  </si>
  <si>
    <t>Náklady
hlavnej činnosti
2016</t>
  </si>
  <si>
    <r>
      <t>Rozdiel 2016-2015</t>
    </r>
    <r>
      <rPr>
        <sz val="12"/>
        <color indexed="10"/>
        <rFont val="Times New Roman"/>
        <family val="1"/>
        <charset val="238"/>
      </rPr>
      <t xml:space="preserve"> </t>
    </r>
  </si>
  <si>
    <t>Obsah tabuľkovej prílohy výročnej správy o hospodárení verejnej vysokej školy za rok 2016</t>
  </si>
  <si>
    <t>Vysvetlivky k tabuľkám výročnej správy o hospodárení verejných vysokých škôl za rok 2016</t>
  </si>
  <si>
    <t>Súvzťažnosti tabuliek výročnej správy o hospodárení verejných vysokých škôl za rok 2016</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</si>
  <si>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2016</t>
    </r>
    <r>
      <rPr>
        <sz val="12"/>
        <color rgb="FF00B050"/>
        <rFont val="Times New Roman"/>
        <family val="1"/>
        <charset val="238"/>
      </rPr>
      <t xml:space="preserve"> </t>
    </r>
    <r>
      <rPr>
        <sz val="12"/>
        <rFont val="Times New Roman"/>
        <family val="1"/>
        <charset val="238"/>
      </rPr>
      <t xml:space="preserve"> na programe 077 </t>
    </r>
  </si>
  <si>
    <r>
      <t>Príjmy verejnej vysokej školy v roku 2016</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</si>
  <si>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Výnosy verejnej vysokej školy zo školného a z poplatkov spojených so štúdiom v rokoch 2015</t>
    </r>
    <r>
      <rPr>
        <sz val="12"/>
        <color indexed="10"/>
        <rFont val="Times New Roman"/>
        <family val="1"/>
        <charset val="238"/>
      </rPr>
      <t xml:space="preserve"> </t>
    </r>
    <r>
      <rPr>
        <sz val="12"/>
        <rFont val="Times New Roman"/>
        <family val="1"/>
        <charset val="238"/>
      </rPr>
      <t>a 2016</t>
    </r>
  </si>
  <si>
    <t>Náklady verejnej vysokej školy v rokoch 2015 a 2016</t>
  </si>
  <si>
    <t>Zamestnanci a náklady na mzdy verejnej vysokej školy v roku 2016</t>
  </si>
  <si>
    <r>
      <t>Zamestnanci a náklady na mzdy verejnej vysokej školy v roku 2016</t>
    </r>
    <r>
      <rPr>
        <sz val="12"/>
        <color theme="1"/>
        <rFont val="Times New Roman"/>
        <family val="1"/>
        <charset val="238"/>
      </rPr>
      <t xml:space="preserve"> - len ženy</t>
    </r>
  </si>
  <si>
    <t>Náklady verejnej vysokej školy na štipendiá interných doktorandov v roku 2016</t>
  </si>
  <si>
    <t>Údaje o systéme sociálnej podpory  - časť  sociálne štipendiá  (§ 96 zákona) za roky 2015 a 2016</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</si>
  <si>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2015 a 2016</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</si>
  <si>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2015 a 2016</t>
    </r>
  </si>
  <si>
    <t>Zdroje verejnej vysokej školy na obstaranie a technické zhodnotenie dlhodobého  majetku v rokoch 2015 a 2016</t>
  </si>
  <si>
    <t>Výdavky verejnej vysokej školy na obstaranie a technické zhodnotenie dlhodobého majetku v roku 2016</t>
  </si>
  <si>
    <r>
      <t>Stav a vývoj finančných fondov verejnej vysokej školy v rokoch 2015</t>
    </r>
    <r>
      <rPr>
        <sz val="12"/>
        <color indexed="10"/>
        <rFont val="Times New Roman"/>
        <family val="1"/>
        <charset val="238"/>
      </rPr>
      <t xml:space="preserve"> </t>
    </r>
    <r>
      <rPr>
        <sz val="12"/>
        <rFont val="Times New Roman"/>
        <family val="1"/>
        <charset val="238"/>
      </rPr>
      <t>a 2016</t>
    </r>
  </si>
  <si>
    <r>
      <t>Štruktúra a stav finančných prostriedkov na bankových účtoch verejnej vysokej školy k 31. decembru 2016</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</si>
  <si>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2016</t>
  </si>
  <si>
    <r>
      <t>Príjmy z dotácií verejnej vysokej škole zo štátneho rozpočtu z kapitoly MŠVVaŠ SR poskytnuté mimo programu 077 a mimo príjmov z prostriedkov EÚ (zo štrukturálnych fondov) v roku 2016</t>
    </r>
    <r>
      <rPr>
        <sz val="12"/>
        <color rgb="FF00B050"/>
        <rFont val="Times New Roman"/>
        <family val="1"/>
        <charset val="238"/>
      </rPr>
      <t xml:space="preserve"> </t>
    </r>
  </si>
  <si>
    <t>Štipendiá z vlastných zdrojov podľa § 97 zákona v rokoch 2015 a 2016</t>
  </si>
  <si>
    <t xml:space="preserve">Motivačné štipendiá  v rokoch 2015 a 2016 (v zmysle § 96a  zákona ) </t>
  </si>
  <si>
    <t>Štruktúra účtu 384 - výnosy budúcich období v rokoch 2015 a 2016</t>
  </si>
  <si>
    <t>Výnosy verejnej vysokej školy v roku 2016 v oblasti sociálnej podpory študentov</t>
  </si>
  <si>
    <t>T4_R6</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</si>
  <si>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</si>
  <si>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</si>
  <si>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2016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2016. </t>
    </r>
  </si>
  <si>
    <t>doplnené riadky 8, 9, 10, v R1 upravené vzťahy</t>
  </si>
  <si>
    <t>v hlavičkách, vo vysvetlivkách a v súvsťažnostiach boli zmenené (aktualizované) roky</t>
  </si>
  <si>
    <t>Údaje vychádzajú z platného analytického členenia účtov na rok 2016.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</si>
  <si>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T10_R7_SA (SB) = dotačná zmluva 2015 (2016)_účelová dotácia na študentské jedálne</t>
  </si>
  <si>
    <t>- školné od cudzincov (§ 92 ods. 9 zákona) 649 002, 649 023</t>
  </si>
  <si>
    <t>- školné od externých študentov (§ 92 ods. 4  zákona) 649 020</t>
  </si>
  <si>
    <t>- poplatky za súbežné štúdium (§ 92, ods. 5) 649 026</t>
  </si>
  <si>
    <t>- poplatky za prijímacie konanie (§ 92, ods. 10) 649 003</t>
  </si>
  <si>
    <t>- poplatky za rigorózne konanie - vydanie diplómu 649 005</t>
  </si>
  <si>
    <t>- poplatky za vydanie dokladov o absolvovaní štúdia (§92, ods. 15, 649 024)</t>
  </si>
  <si>
    <t>- poplatky za uznávanie rovnocennosti dokladov o štúdiu (§92, ods. 15, 649 025)</t>
  </si>
  <si>
    <t>- poplatky za rigorózne konanie (§ 92, ods. 11) 649 004</t>
  </si>
  <si>
    <t>- školné za prekročenie štandardnej dĺžky štúdia 649 001</t>
  </si>
  <si>
    <r>
      <t>Výnosy zo školného (účet 649)</t>
    </r>
    <r>
      <rPr>
        <b/>
        <sz val="12"/>
        <color indexed="8"/>
        <rFont val="Times New Roman"/>
        <family val="1"/>
        <charset val="238"/>
      </rPr>
      <t xml:space="preserve"> </t>
    </r>
    <r>
      <rPr>
        <b/>
        <sz val="12"/>
        <color rgb="FF0000FF"/>
        <rFont val="Times New Roman"/>
        <family val="1"/>
        <charset val="238"/>
      </rPr>
      <t>[SUM(R21:R24)]</t>
    </r>
  </si>
  <si>
    <t>Údaje v T4 sú kontrolované na údaje z T3, a to na výnosy z hlavnej činnosti - školné (T3_R20), poplatky spojené so štúdiom (T3_R25). 
Údaj  v R15 - návrh na prídel do štipendijného fondu musí byť minimálne vo výške vykazovanom na riadku R14 - základ pre prídel do štipendijného fondu.</t>
  </si>
  <si>
    <t xml:space="preserve">T9_R6_SA (SB) = dotačná zmluva 2015 (2016) - účelové prostriedky na študentské domovy (vrátane dotácie na valorizáciu miezd ŠJ) </t>
  </si>
  <si>
    <r>
      <t xml:space="preserve">Výnos z dotácie zo štátneho rozpočtu na študentské domovy </t>
    </r>
    <r>
      <rPr>
        <b/>
        <sz val="12"/>
        <color rgb="FFFF0000"/>
        <rFont val="Times New Roman"/>
        <family val="1"/>
        <charset val="238"/>
      </rPr>
      <t>(vrátane zmluvných zariadení a valorizácie miezd ŠJ)</t>
    </r>
  </si>
  <si>
    <t>T23_R24_SA_(SB)≤T19_R1_SA_(SC)
T23_R30_SA_(SB)=T4_R15_SA_(SB)</t>
  </si>
  <si>
    <t>doplnené a zoskupené syntetické účty tak aby bolo možné kontrolovať sledované položky</t>
  </si>
  <si>
    <t>zmeny v riadku 6</t>
  </si>
  <si>
    <t>doplnené pomenovanie stĺpcov a súvsťažnosti na tabuľky T1, T4 a T18</t>
  </si>
  <si>
    <t>doplnené  pomenovanie stĺpcov a súvsťažnosti na tabuľky T4 a T19</t>
  </si>
  <si>
    <t xml:space="preserve">Údaje sa kontrolujú na poskytnutú dotáciu  na študentské domovy (vrátane zmluvných zariadení a dotácie na valorizáciu platov zamestnancov ŠJ) </t>
  </si>
  <si>
    <r>
      <t>Výnosy z poplatkov spojených so štúdiom (účet 649)</t>
    </r>
    <r>
      <rPr>
        <b/>
        <sz val="12"/>
        <color rgb="FF0000FF"/>
        <rFont val="Times New Roman"/>
        <family val="1"/>
        <charset val="238"/>
      </rPr>
      <t xml:space="preserve"> [SUM(R26:R31)] </t>
    </r>
  </si>
  <si>
    <t>Zmeny stavu zásob vlastnej výroby (účtová skupina 611-614)</t>
  </si>
  <si>
    <t>Aktivácia (účet 621-624)</t>
  </si>
  <si>
    <r>
      <t xml:space="preserve">Prijaté príspevky </t>
    </r>
    <r>
      <rPr>
        <b/>
        <sz val="12"/>
        <color rgb="FF0000FF"/>
        <rFont val="Times New Roman"/>
        <family val="1"/>
        <charset val="238"/>
      </rPr>
      <t xml:space="preserve">od fyzických osôb </t>
    </r>
    <r>
      <rPr>
        <b/>
        <sz val="12"/>
        <color theme="1"/>
        <rFont val="Times New Roman"/>
        <family val="1"/>
      </rPr>
      <t>663</t>
    </r>
  </si>
  <si>
    <t>Príspevky z podielu zaplatenej dane (účet 665)</t>
  </si>
  <si>
    <t>- ostatný materiál (účet 501 099, 501 030, 501 100, 501 599)</t>
  </si>
  <si>
    <t>- ostatné energie (502 099)</t>
  </si>
  <si>
    <t>- dopravné služby (účet 518 012, 518 512)</t>
  </si>
  <si>
    <r>
      <t>Poskytnuté príspevky</t>
    </r>
    <r>
      <rPr>
        <sz val="12"/>
        <color indexed="8"/>
        <rFont val="Times New Roman"/>
        <family val="1"/>
      </rPr>
      <t xml:space="preserve"> </t>
    </r>
    <r>
      <rPr>
        <b/>
        <sz val="12"/>
        <color indexed="8"/>
        <rFont val="Times New Roman"/>
        <family val="1"/>
      </rPr>
      <t xml:space="preserve">(účtová skupina 56: </t>
    </r>
    <r>
      <rPr>
        <b/>
        <sz val="12"/>
        <color rgb="FFFF0000"/>
        <rFont val="Times New Roman"/>
        <family val="1"/>
        <charset val="238"/>
      </rPr>
      <t>562 a 563</t>
    </r>
    <r>
      <rPr>
        <b/>
        <sz val="12"/>
        <color indexed="8"/>
        <rFont val="Times New Roman"/>
        <family val="1"/>
      </rPr>
      <t>)</t>
    </r>
  </si>
  <si>
    <t>- Náklady účtovnej skupiny 54  okrem nákladov účtu 549 (541 až 548)</t>
  </si>
  <si>
    <t>- ostatné náklady z účtovej skupiny 55 (účty 552, 553, 554, 557, 558, 559)</t>
  </si>
  <si>
    <r>
      <t xml:space="preserve">1) V prípade, že ešte niektorá VVŠ vypláca doktorandské štipendiá pozadu (ako "mzdy zamestancom"), výška nákladov vykazovaná k </t>
    </r>
    <r>
      <rPr>
        <sz val="12"/>
        <color indexed="10"/>
        <rFont val="Times New Roman"/>
        <family val="1"/>
        <charset val="238"/>
      </rPr>
      <t xml:space="preserve">31.12.2016 </t>
    </r>
    <r>
      <rPr>
        <sz val="12"/>
        <rFont val="Times New Roman"/>
        <family val="2"/>
        <charset val="238"/>
      </rPr>
      <t>zohľadňuje aj úhradu štipendií doktorandov, vyplatených</t>
    </r>
  </si>
  <si>
    <r>
      <t xml:space="preserve">Dotácia na štipendiá doktorandov poskytnutá v rámci dotačnej zmluvy v roku </t>
    </r>
    <r>
      <rPr>
        <sz val="12"/>
        <color indexed="10"/>
        <rFont val="Times New Roman"/>
        <family val="1"/>
        <charset val="238"/>
      </rPr>
      <t>2016</t>
    </r>
  </si>
  <si>
    <r>
      <t>Počet osobomesiacov za rok</t>
    </r>
    <r>
      <rPr>
        <sz val="12"/>
        <color indexed="10"/>
        <rFont val="Times New Roman"/>
        <family val="1"/>
        <charset val="238"/>
      </rPr>
      <t xml:space="preserve"> 2016</t>
    </r>
  </si>
  <si>
    <r>
      <t xml:space="preserve">Nevyčerpaná účelová dotácia (+) / nedoplatok účelovej dotácie (-) za rok </t>
    </r>
    <r>
      <rPr>
        <sz val="12"/>
        <color indexed="10"/>
        <rFont val="Times New Roman"/>
        <family val="1"/>
        <charset val="238"/>
      </rPr>
      <t>2016</t>
    </r>
  </si>
  <si>
    <t>Nevyčerpaná účelová dotácia (+) / nedoplatok účelovej dotácie (-) za rok 2015</t>
  </si>
  <si>
    <t xml:space="preserve"> - odpisy DN a HM nadobudnutého z kapitálových dotácií z EÚ (zo štrukturálnych fondov) (účet 551 300, 551 321, 551 323)</t>
  </si>
  <si>
    <t xml:space="preserve"> - odpisy ostatného DN a HM (účet 551 200, 551 221, 551 223, 551 400, 551 900, 551 921, 551 923)</t>
  </si>
  <si>
    <r>
      <t>T1 = dotačná zmluva na 201</t>
    </r>
    <r>
      <rPr>
        <sz val="12"/>
        <color rgb="FFFF0000"/>
        <rFont val="Times New Roman"/>
        <family val="1"/>
        <charset val="238"/>
      </rPr>
      <t>6</t>
    </r>
  </si>
  <si>
    <r>
      <rPr>
        <sz val="12"/>
        <color rgb="FFFF0000"/>
        <rFont val="Times New Roman"/>
        <family val="1"/>
        <charset val="238"/>
      </rPr>
      <t>T8_R5_SC= T1_R12_SA</t>
    </r>
    <r>
      <rPr>
        <sz val="12"/>
        <rFont val="Times New Roman"/>
        <family val="1"/>
        <charset val="238"/>
      </rPr>
      <t xml:space="preserve">
T8_R4_SA = zostatok k 31.12.2015
T8_R6_SA = T8_R4_SC 
T8_R1_SA (SC)  ≤ T13_R11_SE (SF)</t>
    </r>
  </si>
  <si>
    <t>- chemikálie a ostatný materiál pre zabezpečenie experimentálnej výučby  (účet 501 002, 501 052)</t>
  </si>
  <si>
    <t xml:space="preserve">- iné analyticky sledované náklady (účty 518 003, 518 013, 518 015-018, 518 020-030, 518 031-034, 518 040, 518 041, 518 529, 518 530, 518 599) </t>
  </si>
  <si>
    <t xml:space="preserve">    - Podpora štud. so špecifickými potrebami podľa §100  (549 018) </t>
  </si>
  <si>
    <t>81a</t>
  </si>
  <si>
    <r>
      <t xml:space="preserve">Daň z príjmov (účtová skupina 59: </t>
    </r>
    <r>
      <rPr>
        <b/>
        <sz val="12"/>
        <color rgb="FFFF0000"/>
        <rFont val="Times New Roman"/>
        <family val="1"/>
        <charset val="238"/>
      </rPr>
      <t>591 až 595</t>
    </r>
    <r>
      <rPr>
        <b/>
        <sz val="12"/>
        <color theme="1"/>
        <rFont val="Times New Roman"/>
        <family val="1"/>
      </rPr>
      <t>)</t>
    </r>
  </si>
  <si>
    <t>- náklady na tvorbu fondu reprodukcie (účet 556 400) (z predaja a likvidácie majetku)</t>
  </si>
  <si>
    <t xml:space="preserve"> - štipendiá z vlastných zdrojov (549 007-010, 549 019, 549 020) </t>
  </si>
  <si>
    <t xml:space="preserve"> - ostatné iné náklady (účet 549 098, 549 099, 549 011, 549 013)</t>
  </si>
  <si>
    <t xml:space="preserve"> - iné analyticky sledované náklady (účet 549 005-006, 549 012)</t>
  </si>
  <si>
    <r>
      <t xml:space="preserve">v R90 ide o náklady na tvorbu FR </t>
    </r>
    <r>
      <rPr>
        <i/>
        <sz val="12"/>
        <rFont val="Times New Roman"/>
        <family val="1"/>
        <charset val="238"/>
      </rPr>
      <t>z predaja a likvidácie majetku = T11R5=T13R5</t>
    </r>
  </si>
  <si>
    <t>- tvorba fondu z výnosov z predaja (a likvidácie) majetku (účet 413 117)</t>
  </si>
  <si>
    <t>- iné analyticky sledované výnosy (účty 602 002-007, 602 011-019, 602 099, 602 199)</t>
  </si>
  <si>
    <r>
      <t xml:space="preserve">1) V </t>
    </r>
    <r>
      <rPr>
        <sz val="12"/>
        <color rgb="FF0000FF"/>
        <rFont val="Times New Roman"/>
        <family val="1"/>
        <charset val="238"/>
      </rPr>
      <t xml:space="preserve">R50-54 </t>
    </r>
    <r>
      <rPr>
        <sz val="12"/>
        <color rgb="FFFF0000"/>
        <rFont val="Times New Roman"/>
        <family val="1"/>
      </rPr>
      <t xml:space="preserve">sa uvedú výnosy účtované v súvislosti s použitím  príslušného fondu.  </t>
    </r>
  </si>
  <si>
    <t>- dary (účet 649 009) (646 001)</t>
  </si>
  <si>
    <t>- vložné na konferencie (649 018)</t>
  </si>
  <si>
    <t>Prijaté príspevky z verejných zbierok (667)</t>
  </si>
  <si>
    <r>
      <t xml:space="preserve"> - MZDY (účty 521 001-008, 521 012, 521 013, </t>
    </r>
    <r>
      <rPr>
        <sz val="12"/>
        <rFont val="Times New Roman"/>
        <family val="1"/>
        <charset val="238"/>
      </rPr>
      <t>581 003</t>
    </r>
    <r>
      <rPr>
        <sz val="12"/>
        <color theme="1"/>
        <rFont val="Times New Roman"/>
        <family val="1"/>
      </rPr>
      <t>)</t>
    </r>
  </si>
  <si>
    <t>Bežná a kapitálová dotácia je kontrolovaná na Zmluvu o poskytnutí  dotácií  zo štátneho rozpočtu prostredníctvom kapitoly MŠVVaŠ (ďalej len "dotačná zmluva") a jej dodatkov na rok 2016 na  programe  077.</t>
  </si>
  <si>
    <r>
      <t>Výnosy zo školného</t>
    </r>
    <r>
      <rPr>
        <sz val="12"/>
        <color indexed="8"/>
        <rFont val="Times New Roman"/>
        <family val="1"/>
      </rPr>
      <t xml:space="preserve">  [SUM (R2:R6)]</t>
    </r>
  </si>
  <si>
    <t>T4_R1_SA(SB) = T3_R20_SA(SC),
T4_R7_SA(SB) = T3_R25_SA(SC) 
T4_R15_SA(SB) = T13_R9_SE(SF)
T4_R15_SA(SB) = T22_R58</t>
  </si>
  <si>
    <t>T5_R90_(SA+SB)=T13_R5_SC
T5_R90_(SC+SD)=T13_R5_SD</t>
  </si>
  <si>
    <t>Náklady sú kontrolované na údaje z výkazníctva - tvorba fondu z likvidovaného / predaného majetku</t>
  </si>
  <si>
    <r>
      <t>Údaje v riadkoch R1:R6, R7, R9, R13, R14, R16, R17  sú kontrolované s údajmi v štatistickom výkaze Škol (MŠ SR) 2-04 za rok 2016</t>
    </r>
    <r>
      <rPr>
        <sz val="12"/>
        <color indexed="10"/>
        <rFont val="Times New Roman"/>
        <family val="1"/>
        <charset val="238"/>
      </rPr>
      <t>.</t>
    </r>
    <r>
      <rPr>
        <sz val="12"/>
        <rFont val="Times New Roman"/>
        <family val="1"/>
        <charset val="238"/>
      </rPr>
      <t xml:space="preserve"> 
Údaje v riadkoch 15a ... (špecifiká) sú kontrolované na rozpis dotácie v roku 2016.</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</si>
  <si>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r>
      <t>Údaje v R1_</t>
    </r>
    <r>
      <rPr>
        <sz val="12"/>
        <color indexed="8"/>
        <rFont val="Times New Roman"/>
        <family val="1"/>
        <charset val="238"/>
      </rPr>
      <t>SE</t>
    </r>
    <r>
      <rPr>
        <sz val="12"/>
        <rFont val="Times New Roman"/>
        <family val="1"/>
        <charset val="238"/>
      </rPr>
      <t xml:space="preserve"> za rok 2016 sú kontrolované na T5_R77_SC a údaje </t>
    </r>
    <r>
      <rPr>
        <sz val="12"/>
        <color indexed="8"/>
        <rFont val="Times New Roman"/>
        <family val="1"/>
        <charset val="238"/>
      </rPr>
      <t>v R9_SA</t>
    </r>
    <r>
      <rPr>
        <sz val="12"/>
        <rFont val="Times New Roman"/>
        <family val="1"/>
        <charset val="238"/>
      </rPr>
      <t xml:space="preserve"> na poskytnutú </t>
    </r>
    <r>
      <rPr>
        <u/>
        <sz val="12"/>
        <rFont val="Times New Roman"/>
        <family val="1"/>
        <charset val="238"/>
      </rPr>
      <t>účelovú</t>
    </r>
    <r>
      <rPr>
        <sz val="12"/>
        <rFont val="Times New Roman"/>
        <family val="1"/>
        <charset val="238"/>
      </rPr>
      <t xml:space="preserve"> dotáciu na štipendiá doktorandov podľa dotačnej zmluvy. </t>
    </r>
  </si>
  <si>
    <r>
      <t xml:space="preserve"> T7_R1_SE = T5_R77_SC,
 T7_R9_SA = dotačná zmluva na 2016</t>
    </r>
    <r>
      <rPr>
        <sz val="12"/>
        <color indexed="8"/>
        <rFont val="Times New Roman"/>
        <family val="1"/>
        <charset val="238"/>
      </rPr>
      <t xml:space="preserve">_účelové prostriedky na štipendiá doktorandov </t>
    </r>
  </si>
  <si>
    <t>Údaje  sú kontrolované na  dotačné zmluvy a na účelovú dotáciu na rok 2015, 2016. Za rok 2016 na T1_R12_SA.
Údaje v T8_R1_SC by sa mali rovnať údajom z CRŠ kód 1.</t>
  </si>
  <si>
    <t>T9_R1 = štatistické výkazy MŠVVaŠ SR 2015 (2016)</t>
  </si>
  <si>
    <t>T8_R5_SA (SC) = dotačná zmluva na rok 2015 (2016), prvok 077 15 01 - účelové prostriedky na sociálne štipendiá</t>
  </si>
  <si>
    <r>
      <t>Údaje v R7_SA (SB) sú kontrolované na  dotačné zmluvy a na účelovú dotáciu na rok 2015</t>
    </r>
    <r>
      <rPr>
        <sz val="12"/>
        <color indexed="10"/>
        <rFont val="Times New Roman"/>
        <family val="1"/>
        <charset val="238"/>
      </rPr>
      <t>,</t>
    </r>
    <r>
      <rPr>
        <sz val="12"/>
        <rFont val="Times New Roman"/>
        <family val="1"/>
        <charset val="238"/>
      </rPr>
      <t xml:space="preserve"> 2016.</t>
    </r>
  </si>
  <si>
    <t>T11_SB_R10a = T17_SC+SD_R10</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</si>
  <si>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</si>
  <si>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r>
      <t xml:space="preserve">T12_R15_SG = výkazníctvo </t>
    </r>
    <r>
      <rPr>
        <sz val="12"/>
        <rFont val="Times New Roman"/>
        <family val="1"/>
        <charset val="238"/>
      </rPr>
      <t xml:space="preserve">2016, </t>
    </r>
    <r>
      <rPr>
        <sz val="12"/>
        <color indexed="8"/>
        <rFont val="Times New Roman"/>
        <family val="1"/>
        <charset val="238"/>
      </rPr>
      <t>kategória 700, všetky zdroje</t>
    </r>
  </si>
  <si>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2016  rovná súčtu zvyšku prijatej kapitálovej dotácie na kompenzáciu odpisov z roku 2015 (stĺpec SA) a výšky kapitálovej dotácie (2016)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</si>
  <si>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2016  rovná súčtu zvyšku prijatej kapitálovej dotácie na kompenzáciu odpisov z roku 2015</t>
    </r>
    <r>
      <rPr>
        <sz val="12"/>
        <color indexed="10"/>
        <rFont val="Times New Roman"/>
        <family val="1"/>
        <charset val="238"/>
      </rPr>
      <t xml:space="preserve"> </t>
    </r>
    <r>
      <rPr>
        <sz val="12"/>
        <rFont val="Times New Roman"/>
        <family val="1"/>
        <charset val="238"/>
      </rPr>
      <t xml:space="preserve">(stĺpec SB) a výšky kapitálovej dotácie (2016) z </t>
    </r>
    <r>
      <rPr>
        <sz val="12"/>
        <color indexed="8"/>
        <rFont val="Times New Roman"/>
        <family val="1"/>
        <charset val="238"/>
      </rPr>
      <t xml:space="preserve">T11_R10a_SB, zníženému o odpisy, vykazované v T5_R86a_SC. </t>
    </r>
  </si>
  <si>
    <r>
      <t>T13_R1_</t>
    </r>
    <r>
      <rPr>
        <b/>
        <sz val="12"/>
        <color rgb="FF00B0F0"/>
        <rFont val="Times New Roman"/>
        <family val="1"/>
        <charset val="238"/>
      </rPr>
      <t>SK(SL)</t>
    </r>
    <r>
      <rPr>
        <sz val="12"/>
        <rFont val="Times New Roman"/>
        <family val="1"/>
        <charset val="238"/>
      </rPr>
      <t xml:space="preserve"> = výkazníctvo súvaha, časť Pasíva,  
riadky 064 + 065 + 069 + </t>
    </r>
    <r>
      <rPr>
        <b/>
        <sz val="12"/>
        <color rgb="FF00B0F0"/>
        <rFont val="Times New Roman"/>
        <family val="1"/>
        <charset val="238"/>
      </rPr>
      <t>070</t>
    </r>
    <r>
      <rPr>
        <sz val="12"/>
        <rFont val="Times New Roman"/>
        <family val="1"/>
        <charset val="238"/>
      </rPr>
      <t xml:space="preserve"> + 071 
(k 1. 1.)
T13_R12_</t>
    </r>
    <r>
      <rPr>
        <b/>
        <sz val="12"/>
        <color rgb="FF00B0F0"/>
        <rFont val="Times New Roman"/>
        <family val="1"/>
        <charset val="238"/>
      </rPr>
      <t>SK(SL)</t>
    </r>
    <r>
      <rPr>
        <sz val="12"/>
        <rFont val="Times New Roman"/>
        <family val="1"/>
        <charset val="238"/>
      </rPr>
      <t xml:space="preserve"> = výkazníctvo súvaha, časť Pasíva,  
riadky 064 + 065 + 069 + </t>
    </r>
    <r>
      <rPr>
        <b/>
        <sz val="12"/>
        <color rgb="FF00B0F0"/>
        <rFont val="Times New Roman"/>
        <family val="1"/>
        <charset val="238"/>
      </rPr>
      <t>070</t>
    </r>
    <r>
      <rPr>
        <sz val="12"/>
        <rFont val="Times New Roman"/>
        <family val="1"/>
        <charset val="238"/>
      </rPr>
      <t xml:space="preserve"> + 071 
(k 31. 12.)
</t>
    </r>
    <r>
      <rPr>
        <sz val="12"/>
        <color rgb="FFFF0000"/>
        <rFont val="Times New Roman"/>
        <family val="1"/>
        <charset val="238"/>
      </rPr>
      <t>T13_R1_SL = T13_R12_SK</t>
    </r>
  </si>
  <si>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xml:space="preserve">. Údaje budú kontrolované na hodnoty z výkazníctva - bežné a kapitálové výdavky evidované na zdrojoch 11E1, </t>
    </r>
    <r>
      <rPr>
        <sz val="12"/>
        <color rgb="FFFF0000"/>
        <rFont val="Times New Roman"/>
        <family val="1"/>
        <charset val="238"/>
      </rPr>
      <t>11E2</t>
    </r>
    <r>
      <rPr>
        <sz val="12"/>
        <rFont val="Times New Roman"/>
        <family val="1"/>
        <charset val="238"/>
      </rPr>
      <t xml:space="preserve">, 11E3, </t>
    </r>
    <r>
      <rPr>
        <sz val="12"/>
        <color rgb="FFFF0000"/>
        <rFont val="Times New Roman"/>
        <family val="1"/>
        <charset val="238"/>
      </rPr>
      <t>11E4</t>
    </r>
    <r>
      <rPr>
        <sz val="12"/>
        <rFont val="Times New Roman"/>
        <family val="1"/>
        <charset val="238"/>
      </rPr>
      <t xml:space="preserve"> a 121.</t>
    </r>
  </si>
  <si>
    <t>Výnosy verejnej vysokej školy v rokoch 2015 a 2016</t>
  </si>
  <si>
    <t xml:space="preserve">doplnené analytické účty a ich príp. zoskupenie </t>
  </si>
  <si>
    <r>
      <t>Náklady verejnej vysokej školy  v roku 2016</t>
    </r>
    <r>
      <rPr>
        <sz val="12"/>
        <color indexed="10"/>
        <rFont val="Times New Roman"/>
        <family val="1"/>
        <charset val="238"/>
      </rPr>
      <t xml:space="preserve"> </t>
    </r>
    <r>
      <rPr>
        <sz val="12"/>
        <rFont val="Times New Roman"/>
        <family val="1"/>
        <charset val="238"/>
      </rPr>
      <t>v oblasti sociálnej podpory študentov</t>
    </r>
  </si>
  <si>
    <t xml:space="preserve">V riadku 2 uvedie vysoká škola celkový objem príjmov z dotácií z rozpočtu obcí a VÚC. V riadkoch R2a ... rozpíše podrobnejšie jednotlivé druhy týchto dotácií, každú na osobitný riadok. </t>
  </si>
  <si>
    <t>Vysoká škola uvedie len cudzincov, ktorým nevznikla povinnosť uhradiť školné z dôvodov uvedených v riadkoch R2 až R5</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</si>
  <si>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</si>
  <si>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</si>
  <si>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</si>
  <si>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</si>
  <si>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r>
      <t>R11_R</t>
    </r>
    <r>
      <rPr>
        <sz val="12"/>
        <color rgb="FFFF0000"/>
        <rFont val="Times New Roman"/>
        <family val="1"/>
        <charset val="238"/>
      </rPr>
      <t>3</t>
    </r>
  </si>
  <si>
    <r>
      <t>Tabuľka č. 17 obsahuje informácie o celkovom objeme príjmov z dotácií, poskytnutých verejnej vysokej škole v roku 2016</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</si>
  <si>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Tabuľka č.19 poskytuje informácie o objeme a štruktúre štipendií  vyplácaných verejnou vysokou školou z vlastných zdrojov podľa § 97 zákona. Neobsahuje (2016) údaje o "normálnych" štipendiách vyplatených doktorandom (t.j. podľa §54, ods.18 zákona)</t>
  </si>
  <si>
    <t>T11_SB_R10 ≥ T1_SB_R15</t>
  </si>
  <si>
    <r>
      <t xml:space="preserve">Údaje v R15, SG - celkové výdavky na obstaranie a technické zhodnotenie majetku sa musia rovnať hodnotám, vykazovaným vo výkaze "Príjmy a výdavky" v kategórii 700 za všetky zdroje (štátny rozpočet, vlastné zdroje, prostriedky EÚ, </t>
    </r>
    <r>
      <rPr>
        <sz val="12"/>
        <color rgb="FFFF0000"/>
        <rFont val="Times New Roman"/>
        <family val="1"/>
        <charset val="238"/>
      </rPr>
      <t>PČ,</t>
    </r>
    <r>
      <rPr>
        <sz val="12"/>
        <color theme="1"/>
        <rFont val="Times New Roman"/>
        <family val="1"/>
        <charset val="238"/>
      </rPr>
      <t xml:space="preserve">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</si>
  <si>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</si>
  <si>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Celková hodnota účtu 384 za rok 2015 a 2016,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(2015), resp. SI (2016). 
Údaje za rok 2015 musia byť totožné s údajmi, ktoré VVŠ predložili k výsledkom hospodárenia VVŠ za rok 2015. </t>
  </si>
  <si>
    <r>
      <t xml:space="preserve">T22_R58_SA_(SB)=T4_R15_SA_(SB)
</t>
    </r>
    <r>
      <rPr>
        <sz val="11"/>
        <color rgb="FFFF0000"/>
        <rFont val="Times New Roman"/>
        <family val="1"/>
        <charset val="238"/>
      </rPr>
      <t>T22R_R64_SA_(SB)= T19_R1_SA_(SB)</t>
    </r>
  </si>
  <si>
    <r>
      <t xml:space="preserve">Uvedie sa objem prijatej kapitálovej dotácie z prostriedkov EÚ vrátane spolufinancovania (účet 346005 – 346008 strana DAL,  napr. zdroje 11S1, 11S2, 11T1, 11T2, (všetky zdroje EŠF na ktorých VVŠ účtuje, aj všetky analytické účty) okrem 11E1, </t>
    </r>
    <r>
      <rPr>
        <sz val="12"/>
        <color rgb="FFFF0000"/>
        <rFont val="Times New Roman"/>
        <family val="1"/>
        <charset val="238"/>
      </rPr>
      <t>11E2</t>
    </r>
    <r>
      <rPr>
        <sz val="12"/>
        <color theme="1"/>
        <rFont val="Times New Roman"/>
        <family val="1"/>
        <charset val="238"/>
      </rPr>
      <t xml:space="preserve">, 11E3, </t>
    </r>
    <r>
      <rPr>
        <sz val="12"/>
        <color rgb="FFFF0000"/>
        <rFont val="Times New Roman"/>
        <family val="1"/>
        <charset val="238"/>
      </rPr>
      <t>11E4</t>
    </r>
    <r>
      <rPr>
        <sz val="12"/>
        <color theme="1"/>
        <rFont val="Times New Roman"/>
        <family val="1"/>
        <charset val="238"/>
      </rPr>
      <t xml:space="preserve"> a 121 – viď riadok 13)</t>
    </r>
  </si>
  <si>
    <r>
      <t xml:space="preserve">Ak má verejná vysoká škola zriadené </t>
    </r>
    <r>
      <rPr>
        <sz val="12"/>
        <color rgb="FF0000FF"/>
        <rFont val="Times New Roman"/>
        <family val="1"/>
        <charset val="238"/>
      </rPr>
      <t>účty aj mimo Štátnu pokladnicu</t>
    </r>
    <r>
      <rPr>
        <sz val="12"/>
        <rFont val="Times New Roman"/>
        <family val="1"/>
        <charset val="238"/>
      </rPr>
      <t xml:space="preserve"> (napr. dobiehajúce účty na riešenie zahraničných výskumných projektov), uvedie súhrnný údaj o nich v tomto riadku. V komentári uvedie podrobnejšiu charakteristiku týchto účtov.</t>
    </r>
  </si>
  <si>
    <r>
      <t xml:space="preserve">Náklady sú kontrolované na údaje z výkazníctva - tvorba fondu z predaja </t>
    </r>
    <r>
      <rPr>
        <sz val="12"/>
        <color rgb="FFFF0000"/>
        <rFont val="Times New Roman"/>
        <family val="1"/>
        <charset val="238"/>
      </rPr>
      <t>a likvidácie</t>
    </r>
    <r>
      <rPr>
        <sz val="12"/>
        <rFont val="Times New Roman"/>
        <family val="1"/>
        <charset val="238"/>
      </rPr>
      <t xml:space="preserve"> majetku</t>
    </r>
  </si>
  <si>
    <r>
      <t xml:space="preserve">Výnosy z použitia fondov (účet 656) </t>
    </r>
    <r>
      <rPr>
        <b/>
        <sz val="12"/>
        <color indexed="10"/>
        <rFont val="Times New Roman"/>
        <family val="1"/>
        <charset val="238"/>
      </rPr>
      <t>[SUM(R50:R54)</t>
    </r>
    <r>
      <rPr>
        <b/>
        <sz val="12"/>
        <color indexed="8"/>
        <rFont val="Times New Roman"/>
        <family val="1"/>
      </rPr>
      <t xml:space="preserve">]  </t>
    </r>
    <r>
      <rPr>
        <b/>
        <vertAlign val="superscript"/>
        <sz val="12"/>
        <color indexed="8"/>
        <rFont val="Times New Roman"/>
        <family val="1"/>
      </rPr>
      <t xml:space="preserve"> 1)</t>
    </r>
  </si>
  <si>
    <r>
      <t>Iné ostatné výnosy (účet 649)</t>
    </r>
    <r>
      <rPr>
        <sz val="14"/>
        <color indexed="8"/>
        <rFont val="Times New Roman"/>
        <family val="1"/>
      </rPr>
      <t xml:space="preserve"> [SUM(R33:R43)]</t>
    </r>
  </si>
  <si>
    <r>
      <t>Spotreba materiálu (účet 501)</t>
    </r>
    <r>
      <rPr>
        <sz val="12"/>
        <color indexed="8"/>
        <rFont val="Times New Roman"/>
        <family val="1"/>
      </rPr>
      <t xml:space="preserve"> </t>
    </r>
    <r>
      <rPr>
        <sz val="12"/>
        <color rgb="FF0000FF"/>
        <rFont val="Times New Roman"/>
        <family val="1"/>
        <charset val="238"/>
      </rPr>
      <t>[SUM(R2:R13)]</t>
    </r>
  </si>
  <si>
    <r>
      <t>Spotreba energie (účet 502)</t>
    </r>
    <r>
      <rPr>
        <sz val="12"/>
        <color indexed="8"/>
        <rFont val="Times New Roman"/>
        <family val="1"/>
      </rPr>
      <t xml:space="preserve"> </t>
    </r>
    <r>
      <rPr>
        <sz val="12"/>
        <color rgb="FF0000FF"/>
        <rFont val="Times New Roman"/>
        <family val="1"/>
        <charset val="238"/>
      </rPr>
      <t>[SUM(R15:R20)]</t>
    </r>
  </si>
  <si>
    <r>
      <t>Predaný tovar (účet 504)</t>
    </r>
    <r>
      <rPr>
        <sz val="12"/>
        <color rgb="FF0000FF"/>
        <rFont val="Times New Roman"/>
        <family val="1"/>
        <charset val="238"/>
      </rPr>
      <t xml:space="preserve"> [SUM(R23:R26)]</t>
    </r>
  </si>
  <si>
    <r>
      <t>Opravy a udržiavanie (účet 511)</t>
    </r>
    <r>
      <rPr>
        <sz val="12"/>
        <color indexed="8"/>
        <rFont val="Times New Roman"/>
        <family val="1"/>
      </rPr>
      <t xml:space="preserve"> </t>
    </r>
    <r>
      <rPr>
        <sz val="12"/>
        <color rgb="FF0000FF"/>
        <rFont val="Times New Roman"/>
        <family val="1"/>
        <charset val="238"/>
      </rPr>
      <t>[SUM(R28:R34)]</t>
    </r>
  </si>
  <si>
    <r>
      <t>Cestovné (účet 512)</t>
    </r>
    <r>
      <rPr>
        <sz val="12"/>
        <color indexed="8"/>
        <rFont val="Times New Roman"/>
        <family val="1"/>
      </rPr>
      <t xml:space="preserve"> [</t>
    </r>
    <r>
      <rPr>
        <sz val="12"/>
        <color rgb="FF0000FF"/>
        <rFont val="Times New Roman"/>
        <family val="1"/>
        <charset val="238"/>
      </rPr>
      <t>SUM(R36:R37)]</t>
    </r>
  </si>
  <si>
    <r>
      <t>Ostatné služby (účet 518)</t>
    </r>
    <r>
      <rPr>
        <sz val="12"/>
        <color indexed="8"/>
        <rFont val="Times New Roman"/>
        <family val="1"/>
      </rPr>
      <t xml:space="preserve"> </t>
    </r>
    <r>
      <rPr>
        <sz val="12"/>
        <color rgb="FF0000FF"/>
        <rFont val="Times New Roman"/>
        <family val="1"/>
        <charset val="238"/>
      </rPr>
      <t>[SUM(R40:R54)]</t>
    </r>
  </si>
  <si>
    <r>
      <t>Mzdové náklady (účet 521)</t>
    </r>
    <r>
      <rPr>
        <sz val="12"/>
        <color indexed="8"/>
        <rFont val="Times New Roman"/>
        <family val="1"/>
      </rPr>
      <t xml:space="preserve">  </t>
    </r>
    <r>
      <rPr>
        <sz val="12"/>
        <color rgb="FF0000FF"/>
        <rFont val="Times New Roman"/>
        <family val="1"/>
        <charset val="238"/>
      </rPr>
      <t>[SUM(R56:R57)]</t>
    </r>
  </si>
  <si>
    <r>
      <t xml:space="preserve"> - OON </t>
    </r>
    <r>
      <rPr>
        <sz val="12"/>
        <color rgb="FF0000FF"/>
        <rFont val="Times New Roman"/>
        <family val="1"/>
        <charset val="238"/>
      </rPr>
      <t>[SUM(R58:R60)]</t>
    </r>
  </si>
  <si>
    <r>
      <t xml:space="preserve">Zákonné sociálne náklady (účet 527) </t>
    </r>
    <r>
      <rPr>
        <sz val="12"/>
        <color rgb="FF0000FF"/>
        <rFont val="Times New Roman"/>
        <family val="1"/>
        <charset val="238"/>
      </rPr>
      <t>[SUM(R64:R69)]</t>
    </r>
  </si>
  <si>
    <r>
      <t>Ostatné náklady (účtová skupina 54)</t>
    </r>
    <r>
      <rPr>
        <sz val="12"/>
        <color indexed="8"/>
        <rFont val="Times New Roman"/>
        <family val="1"/>
      </rPr>
      <t xml:space="preserve"> </t>
    </r>
    <r>
      <rPr>
        <sz val="12"/>
        <color rgb="FF0000FF"/>
        <rFont val="Times New Roman"/>
        <family val="1"/>
        <charset val="238"/>
      </rPr>
      <t>[R75+ R76]</t>
    </r>
  </si>
  <si>
    <r>
      <t xml:space="preserve">Odpisy, predaný majetok a opravné položky (účtová skupina 55: 551 až 558) </t>
    </r>
    <r>
      <rPr>
        <sz val="12"/>
        <color rgb="FF0000FF"/>
        <rFont val="Times New Roman"/>
        <family val="1"/>
        <charset val="238"/>
      </rPr>
      <t>[SUM(R85:R92)]</t>
    </r>
  </si>
  <si>
    <r>
      <t xml:space="preserve">Uvedie sa objem na obstaranie a technické zhodnotenie dlhodobého majetku z iných zdrojov v danom roku vrátane zostatkov na týchto zdrojoch (patria sem aj prostriedky zo zdroja 11E1, </t>
    </r>
    <r>
      <rPr>
        <sz val="12"/>
        <color rgb="FFFF0000"/>
        <rFont val="Times New Roman"/>
        <family val="1"/>
        <charset val="238"/>
      </rPr>
      <t>11E2</t>
    </r>
    <r>
      <rPr>
        <sz val="12"/>
        <color theme="1"/>
        <rFont val="Times New Roman"/>
        <family val="1"/>
        <charset val="238"/>
      </rPr>
      <t xml:space="preserve"> - Finančný mechanizmus EHP; 11E3, </t>
    </r>
    <r>
      <rPr>
        <sz val="12"/>
        <color rgb="FFFF0000"/>
        <rFont val="Times New Roman"/>
        <family val="1"/>
        <charset val="238"/>
      </rPr>
      <t>11E4</t>
    </r>
    <r>
      <rPr>
        <sz val="12"/>
        <color theme="1"/>
        <rFont val="Times New Roman"/>
        <family val="1"/>
        <charset val="238"/>
      </rPr>
      <t xml:space="preserve"> - Nórsky finančný mechanizmus a 121 - Všeobecná pokladničná správa vrátane ich zostatkov z predchádzajúcich rokov)</t>
    </r>
  </si>
  <si>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</si>
  <si>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</si>
  <si>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T18_R1 sú kontrolované na  rozpis bežnej a kapitálovej dotácie na programe 06K v roku 2016 poskytnuté vysokým školám mimo "dotačnej zmluvy" prostredníctvom  APVV resp. sekcie vedy a techniky.
Údaje v T18_R7 a R8 sú kontrolované na rozpis bežnej dotácie na podrograme 05T 08 a prvku 021 02 03 v roku 2016, poskytnuté vysokým školám mimo "dotačnej zmluvy" prostredníctvom sekcie medzinárodnej spolupráce.</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</si>
  <si>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</si>
  <si>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2015, 2016.</t>
    </r>
  </si>
  <si>
    <t>Údaje sa kontrolujú na štatistické údaje MŠVVaŠ SR zasielané CVTI SR.</t>
  </si>
  <si>
    <t xml:space="preserve">Pri vypĺňaní tabuľky je potrebné dodržiavať "Metodické usmernenie k vedeniu účtovníctva od 1. januára 2008 pre verejné vysoké školy používajúce finančný informačný systém SOFIA " </t>
  </si>
  <si>
    <t>chýba 713006 - komunikačná infraštruktúra</t>
  </si>
  <si>
    <t>- telekomunikačná technika  (713 003), komunikačná infraštruktúra (713 006)</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</si>
  <si>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</si>
  <si>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</si>
  <si>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</si>
  <si>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</si>
  <si>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r>
      <t xml:space="preserve">T13_R2_SC (SD) = T11_R2_SA (SB) 
</t>
    </r>
    <r>
      <rPr>
        <sz val="12"/>
        <color rgb="FFFF0000"/>
        <rFont val="Times New Roman"/>
        <family val="1"/>
        <charset val="238"/>
      </rPr>
      <t>T13_R8_SF ≥ T8_R5_SC + T20_R2_(SC + SD)</t>
    </r>
    <r>
      <rPr>
        <sz val="12"/>
        <rFont val="Times New Roman"/>
        <family val="1"/>
        <charset val="238"/>
      </rPr>
      <t xml:space="preserve">
T13_R13_SD = T16_R13_SB
T13_R13_SF = T16_R10_SB</t>
    </r>
  </si>
  <si>
    <t>doplnený stĺpec, upravené vzorce aj v súvsťažnostiach</t>
  </si>
  <si>
    <t>Čerpanie štipendijného fondu je vo výške čerpania soc. štipendií , čerpania  motivač. štipendií a čerpania štipendií z vlastných zdrojov.</t>
  </si>
  <si>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</si>
  <si>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</si>
  <si>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</si>
  <si>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t>T20_R2 = dotačná zmluva 2015 (2016)_účelová dotácia na motivačné štipendiá</t>
  </si>
  <si>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</si>
  <si>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</si>
  <si>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r>
      <t xml:space="preserve">Spolu </t>
    </r>
    <r>
      <rPr>
        <sz val="11"/>
        <rFont val="Times New Roman"/>
        <family val="1"/>
        <charset val="238"/>
      </rPr>
      <t>[R1+R6+SUM(R11:R16)+R19+R20+R25+(R26:R31)+R32+SUM(R44:R49)+SUM</t>
    </r>
    <r>
      <rPr>
        <sz val="11"/>
        <color indexed="10"/>
        <rFont val="Times New Roman"/>
        <family val="1"/>
        <charset val="238"/>
      </rPr>
      <t>(R55:R61)]</t>
    </r>
  </si>
  <si>
    <t>- poplatky za vydanie dokladov o štúdiu 649 006,</t>
  </si>
  <si>
    <t>- ostatné výnosy (účty 649 007, 649 012, 649 019, 649 021-022, 649 098-099)</t>
  </si>
  <si>
    <r>
      <t xml:space="preserve"> - príspevok zamestnancom na stravovanie  (účet 527 002, </t>
    </r>
    <r>
      <rPr>
        <sz val="12"/>
        <color rgb="FFFF0000"/>
        <rFont val="Times New Roman"/>
        <family val="1"/>
        <charset val="238"/>
      </rPr>
      <t>527 052</t>
    </r>
    <r>
      <rPr>
        <sz val="12"/>
        <color theme="1"/>
        <rFont val="Times New Roman"/>
        <family val="1"/>
      </rPr>
      <t>)</t>
    </r>
  </si>
  <si>
    <t>- za vydanie dokladov o štúdiu a ich kópií (§ 92 ods. 15 zákona) (účet 649 006)</t>
  </si>
  <si>
    <r>
      <t>T5_R56_SC+SD &gt;=&lt; T6_R18_SH
T5_R77_SC = T7_R1_SE
T5_R81_SC = T19_</t>
    </r>
    <r>
      <rPr>
        <sz val="12"/>
        <color rgb="FFFF0000"/>
        <rFont val="Times New Roman"/>
        <family val="1"/>
        <charset val="238"/>
      </rPr>
      <t>R1</t>
    </r>
    <r>
      <rPr>
        <sz val="12"/>
        <rFont val="Times New Roman"/>
        <family val="1"/>
        <charset val="238"/>
      </rPr>
      <t>_SC</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</si>
  <si>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2015 a údaje z roku 2016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2016 -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 sa kontrolujú na údaje z T7_R1_SE. 
Prospechové štipendiá z vlastných zdrojov z T5_R81_SC sa kontrolujú na údaje v T19_</t>
    </r>
    <r>
      <rPr>
        <sz val="12"/>
        <color rgb="FFFF0000"/>
        <rFont val="Times New Roman"/>
        <family val="1"/>
        <charset val="238"/>
      </rPr>
      <t>R1</t>
    </r>
    <r>
      <rPr>
        <sz val="12"/>
        <rFont val="Times New Roman"/>
        <family val="1"/>
        <charset val="238"/>
      </rPr>
      <t xml:space="preserve">_SC. </t>
    </r>
  </si>
  <si>
    <t>oprava súvzťažnosti na R1 namiesto na R2 (v T19)</t>
  </si>
  <si>
    <t xml:space="preserve">Tabuľka č. 20: Motivačné štipendiá  v rokoch 2014 a 2015 (v zmysle § 96a  zákona )  </t>
  </si>
  <si>
    <r>
      <t xml:space="preserve">mot. štipendiá podľa 
§ 96a, ods.1, písm. a)
</t>
    </r>
    <r>
      <rPr>
        <b/>
        <sz val="12"/>
        <rFont val="Times New Roman"/>
        <family val="1"/>
        <charset val="238"/>
      </rPr>
      <t>(kód v CRŠ: 19)</t>
    </r>
  </si>
  <si>
    <r>
      <t xml:space="preserve">mot. štipendiá podľa 
§ 96a, ods.1, písm. b)
</t>
    </r>
    <r>
      <rPr>
        <b/>
        <sz val="12"/>
        <rFont val="Times New Roman"/>
        <family val="1"/>
        <charset val="238"/>
      </rPr>
      <t>(kódy v  CRŠ: 4, 5, 6, 7, 8)</t>
    </r>
  </si>
  <si>
    <r>
      <rPr>
        <b/>
        <sz val="12"/>
        <rFont val="Times New Roman"/>
        <family val="1"/>
        <charset val="238"/>
      </rPr>
      <t>B</t>
    </r>
    <r>
      <rPr>
        <vertAlign val="superscript"/>
        <sz val="12"/>
        <rFont val="Times New Roman"/>
        <family val="1"/>
        <charset val="238"/>
      </rPr>
      <t>2)</t>
    </r>
  </si>
  <si>
    <r>
      <t>C</t>
    </r>
    <r>
      <rPr>
        <vertAlign val="superscript"/>
        <sz val="12"/>
        <rFont val="Times New Roman"/>
        <family val="1"/>
        <charset val="238"/>
      </rPr>
      <t>3)</t>
    </r>
  </si>
  <si>
    <r>
      <t xml:space="preserve">Príjem z dotácie na motivačné štipendiá z kapitoly MŠVVaŠ SR v kalendárnom roku </t>
    </r>
    <r>
      <rPr>
        <b/>
        <vertAlign val="superscript"/>
        <sz val="12"/>
        <rFont val="Times New Roman"/>
        <family val="1"/>
        <charset val="238"/>
      </rPr>
      <t>1)</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</si>
  <si>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1) </t>
    </r>
    <r>
      <rPr>
        <b/>
        <sz val="12"/>
        <rFont val="Times New Roman"/>
        <family val="1"/>
        <charset val="238"/>
      </rPr>
      <t xml:space="preserve">  [R1+R2-R3]                       </t>
    </r>
  </si>
  <si>
    <r>
      <t xml:space="preserve">Počet študentov, ktorým bolo priznané motivačné štipendium </t>
    </r>
    <r>
      <rPr>
        <b/>
        <vertAlign val="superscript"/>
        <sz val="12"/>
        <rFont val="Times New Roman"/>
        <family val="1"/>
        <charset val="238"/>
      </rPr>
      <t>1)</t>
    </r>
  </si>
  <si>
    <t>- nákup softvéru (711 )</t>
  </si>
  <si>
    <t>T11</t>
  </si>
  <si>
    <t>T13</t>
  </si>
  <si>
    <t>T5</t>
  </si>
  <si>
    <t>rozdiel</t>
  </si>
  <si>
    <t>zostatkové účty</t>
  </si>
  <si>
    <t>bežné účty -  napr. prijímacie pohovory, školné, na dary .......</t>
  </si>
  <si>
    <t>ÚZ ŠDaJ, MTF</t>
  </si>
  <si>
    <t>štrukturálne fondy</t>
  </si>
  <si>
    <t>SjF:7000085579; FEI:7000085026; FChPT:7000081498; FA:7000081930; MTF:7000081412; FIIT:7000085560; ŠDaJ:7000076234; Gabčíkovo:7000081631;RSTU:7000084090,7000084015,7000337254</t>
  </si>
  <si>
    <t>FR+účet prostriedkov z predaja  majetku - FA a R</t>
  </si>
  <si>
    <t xml:space="preserve"> Rektorát STU</t>
  </si>
  <si>
    <t>účty združených prostriedkov</t>
  </si>
  <si>
    <r>
      <t>T21_R1_</t>
    </r>
    <r>
      <rPr>
        <b/>
        <sz val="12"/>
        <rFont val="Times New Roman"/>
        <family val="1"/>
        <charset val="238"/>
      </rPr>
      <t>SA</t>
    </r>
    <r>
      <rPr>
        <sz val="12"/>
        <rFont val="Times New Roman"/>
        <family val="1"/>
        <charset val="238"/>
      </rPr>
      <t xml:space="preserve"> + T11_R10_SB - T5_R85_SC = T21_R1_</t>
    </r>
    <r>
      <rPr>
        <b/>
        <sz val="12"/>
        <rFont val="Times New Roman"/>
        <family val="1"/>
        <charset val="238"/>
      </rPr>
      <t>SG</t>
    </r>
  </si>
  <si>
    <r>
      <t>T21_R1_</t>
    </r>
    <r>
      <rPr>
        <b/>
        <sz val="12"/>
        <rFont val="Times New Roman"/>
        <family val="1"/>
        <charset val="238"/>
      </rPr>
      <t>SB</t>
    </r>
    <r>
      <rPr>
        <sz val="12"/>
        <rFont val="Times New Roman"/>
        <family val="1"/>
        <charset val="238"/>
      </rPr>
      <t xml:space="preserve"> + T11_R10a_SB - T5_R86a_SC = T21_R1_</t>
    </r>
    <r>
      <rPr>
        <b/>
        <sz val="12"/>
        <rFont val="Times New Roman"/>
        <family val="1"/>
        <charset val="238"/>
      </rPr>
      <t>SH</t>
    </r>
  </si>
  <si>
    <t>Príjmy z MK SR</t>
  </si>
  <si>
    <t>APVV projekty - spoluriešitelia</t>
  </si>
  <si>
    <t>1c</t>
  </si>
  <si>
    <t>voucher z Ministerstva hospodárstva</t>
  </si>
  <si>
    <t>1d</t>
  </si>
  <si>
    <t>dary a granty</t>
  </si>
  <si>
    <t>1e</t>
  </si>
  <si>
    <t>FpU Elektrárenstvo na Slovensku</t>
  </si>
  <si>
    <t>1f</t>
  </si>
  <si>
    <t>FpU Modernizácia služieb knižnice</t>
  </si>
  <si>
    <t>1g</t>
  </si>
  <si>
    <t>FpU Akvizícia knižnice</t>
  </si>
  <si>
    <t>1h</t>
  </si>
  <si>
    <t>FpU Fieglerocvi</t>
  </si>
  <si>
    <t>1i</t>
  </si>
  <si>
    <t>FpU Enviromentálny dizajn</t>
  </si>
  <si>
    <t>1j</t>
  </si>
  <si>
    <t>FpU Reflexie architektúry</t>
  </si>
  <si>
    <t>1k</t>
  </si>
  <si>
    <t>FpU ARCH+A days</t>
  </si>
  <si>
    <t>1l</t>
  </si>
  <si>
    <t>FpU Level</t>
  </si>
  <si>
    <t>1m</t>
  </si>
  <si>
    <t>FpU dizajnerskakresba.sk</t>
  </si>
  <si>
    <t>1n</t>
  </si>
  <si>
    <t>FpU Modra</t>
  </si>
  <si>
    <t>1o</t>
  </si>
  <si>
    <t>FpU FreshArt</t>
  </si>
  <si>
    <t>1p</t>
  </si>
  <si>
    <t>FpU Laureáti ceny D. Jurkoviča</t>
  </si>
  <si>
    <t>1r</t>
  </si>
  <si>
    <t>FpU Design v pohybe</t>
  </si>
  <si>
    <t>1s</t>
  </si>
  <si>
    <t>FpU Flowers of Slovakia</t>
  </si>
  <si>
    <t>1t</t>
  </si>
  <si>
    <t>FpU Prezentácia diel krajinnej arch.</t>
  </si>
  <si>
    <t>1u</t>
  </si>
  <si>
    <t>Spoluriešiteľ Univerzita Konštantína Filozofa Nitra - ERAZMUS</t>
  </si>
  <si>
    <t>1v</t>
  </si>
  <si>
    <t>STIMULY spoluriešiteľ Prvá zváračská spoločnosť</t>
  </si>
  <si>
    <t>Od ostatných subjektov VS</t>
  </si>
  <si>
    <t>Nórsky finančný mechanizmus</t>
  </si>
  <si>
    <t>Nadácia Volkswagen Slovakia</t>
  </si>
  <si>
    <t>3c</t>
  </si>
  <si>
    <t>AJA Akadémia</t>
  </si>
  <si>
    <t>3d</t>
  </si>
  <si>
    <t>dary</t>
  </si>
  <si>
    <t>príjmy vrámci spolupráce s inými zahr. univerzitami</t>
  </si>
  <si>
    <t>príjmy progr.EU územnej spolupr.- zahraničie</t>
  </si>
  <si>
    <t>4c</t>
  </si>
  <si>
    <t>príjmy na riešenie proj.výskumu,vývoja a inovácie</t>
  </si>
  <si>
    <t>4d</t>
  </si>
  <si>
    <t>SAGA for VET</t>
  </si>
  <si>
    <t>4e</t>
  </si>
  <si>
    <t>Praxis</t>
  </si>
  <si>
    <t>4f</t>
  </si>
  <si>
    <t>Tempus</t>
  </si>
  <si>
    <t>4g</t>
  </si>
  <si>
    <t>Future mathematic</t>
  </si>
  <si>
    <t>4h</t>
  </si>
  <si>
    <t>INCOMERA</t>
  </si>
  <si>
    <t>4i</t>
  </si>
  <si>
    <t>TEMPO</t>
  </si>
  <si>
    <t>4j</t>
  </si>
  <si>
    <t>H2020 Newton</t>
  </si>
  <si>
    <t>4k</t>
  </si>
  <si>
    <t>Fit1Age</t>
  </si>
  <si>
    <t>4l</t>
  </si>
  <si>
    <t>Virtuálne dunajské nábrežie</t>
  </si>
  <si>
    <t>4m</t>
  </si>
  <si>
    <t>OIKONET</t>
  </si>
  <si>
    <t>4n</t>
  </si>
  <si>
    <t>Challenges of Conterporary Urban Planning</t>
  </si>
  <si>
    <t>4o</t>
  </si>
  <si>
    <t>Safer Cities</t>
  </si>
  <si>
    <t>4p</t>
  </si>
  <si>
    <t>Škoda Auto</t>
  </si>
  <si>
    <t>4r</t>
  </si>
  <si>
    <t>BEKAERT</t>
  </si>
  <si>
    <t>4s</t>
  </si>
  <si>
    <t>ERAZMUS +</t>
  </si>
  <si>
    <t>4t</t>
  </si>
  <si>
    <t>COST</t>
  </si>
  <si>
    <t>4u</t>
  </si>
  <si>
    <t>SCOPES (Univerzita Lugano)</t>
  </si>
  <si>
    <t>4v</t>
  </si>
  <si>
    <t>SOCRATES (príjmy od medzinárodnej organizácie)</t>
  </si>
  <si>
    <t>4z</t>
  </si>
  <si>
    <t>7. RP</t>
  </si>
  <si>
    <t>4x</t>
  </si>
  <si>
    <t>ODA</t>
  </si>
  <si>
    <t>súčasť nepoužila štipendijný fond  /FIIT/</t>
  </si>
  <si>
    <r>
      <t xml:space="preserve">rozdiel </t>
    </r>
    <r>
      <rPr>
        <sz val="14"/>
        <color rgb="FFFF0000"/>
        <rFont val="Times New Roman"/>
        <family val="1"/>
        <charset val="238"/>
      </rPr>
      <t xml:space="preserve">31 037,79 </t>
    </r>
    <r>
      <rPr>
        <sz val="14"/>
        <rFont val="Times New Roman"/>
        <family val="1"/>
      </rPr>
      <t xml:space="preserve">je oprava chybného účtovania z predchádzajúcich období na súčastiach STU     </t>
    </r>
  </si>
  <si>
    <t>na T13: ok s vysvetl. Gon</t>
  </si>
  <si>
    <t>ok</t>
  </si>
  <si>
    <t xml:space="preserve">  Porovnanie údajov o počte jedál pre študentov v tabuľke 10 a v štatistickom výkaze za STU</t>
  </si>
  <si>
    <t>Bratislava</t>
  </si>
  <si>
    <t>Trnava</t>
  </si>
  <si>
    <t>STU spolu</t>
  </si>
  <si>
    <r>
      <t xml:space="preserve">  - počet podaných jedál s nárokom na dotáciu vo </t>
    </r>
    <r>
      <rPr>
        <b/>
        <sz val="12"/>
        <color indexed="10"/>
        <rFont val="Times New Roman"/>
        <family val="1"/>
        <charset val="238"/>
      </rPr>
      <t>vlastných ŠJ STU</t>
    </r>
  </si>
  <si>
    <r>
      <t xml:space="preserve">  - počet podaných jedál v </t>
    </r>
    <r>
      <rPr>
        <b/>
        <sz val="12"/>
        <color indexed="10"/>
        <rFont val="Times New Roman"/>
        <family val="1"/>
        <charset val="238"/>
      </rPr>
      <t>prenajatých jedálňach STU</t>
    </r>
    <r>
      <rPr>
        <sz val="12"/>
        <rFont val="Times New Roman"/>
        <family val="1"/>
        <charset val="238"/>
      </rPr>
      <t xml:space="preserve"> a </t>
    </r>
    <r>
      <rPr>
        <b/>
        <sz val="12"/>
        <color rgb="FFFF0000"/>
        <rFont val="Times New Roman"/>
        <family val="1"/>
        <charset val="238"/>
      </rPr>
      <t>zmluvných zariadeniach</t>
    </r>
    <r>
      <rPr>
        <b/>
        <sz val="12"/>
        <rFont val="Times New Roman"/>
        <family val="1"/>
        <charset val="238"/>
      </rPr>
      <t xml:space="preserve"> </t>
    </r>
    <r>
      <rPr>
        <sz val="12"/>
        <rFont val="Times New Roman"/>
        <family val="1"/>
        <charset val="238"/>
      </rPr>
      <t>s nárokom na dotáciu</t>
    </r>
  </si>
  <si>
    <t xml:space="preserve">  - SPOLU počet jedál s nárokom na dotáciu</t>
  </si>
  <si>
    <r>
      <t xml:space="preserve">  - počet jedál podaných študentom </t>
    </r>
    <r>
      <rPr>
        <b/>
        <sz val="12"/>
        <color indexed="10"/>
        <rFont val="Times New Roman"/>
        <family val="1"/>
        <charset val="238"/>
      </rPr>
      <t>bez nároku na dotáciu</t>
    </r>
    <r>
      <rPr>
        <sz val="12"/>
        <rFont val="Times New Roman"/>
        <family val="1"/>
        <charset val="238"/>
      </rPr>
      <t xml:space="preserve"> </t>
    </r>
    <r>
      <rPr>
        <sz val="12"/>
        <color indexed="18"/>
        <rFont val="Times New Roman"/>
        <family val="1"/>
        <charset val="238"/>
      </rPr>
      <t>-</t>
    </r>
    <r>
      <rPr>
        <sz val="12"/>
        <color indexed="17"/>
        <rFont val="Times New Roman"/>
        <family val="1"/>
        <charset val="238"/>
      </rPr>
      <t xml:space="preserve"> neuvádza sa do T10;</t>
    </r>
    <r>
      <rPr>
        <sz val="12"/>
        <color indexed="18"/>
        <rFont val="Times New Roman"/>
        <family val="1"/>
        <charset val="238"/>
      </rPr>
      <t xml:space="preserve"> do štatistiky áno</t>
    </r>
  </si>
  <si>
    <r>
      <t xml:space="preserve">  - </t>
    </r>
    <r>
      <rPr>
        <b/>
        <sz val="12"/>
        <color indexed="18"/>
        <rFont val="Times New Roman"/>
        <family val="1"/>
        <charset val="238"/>
      </rPr>
      <t>celkový</t>
    </r>
    <r>
      <rPr>
        <sz val="12"/>
        <color indexed="18"/>
        <rFont val="Times New Roman"/>
        <family val="1"/>
        <charset val="238"/>
      </rPr>
      <t xml:space="preserve"> počet jedál podaných študentom uvedený v</t>
    </r>
    <r>
      <rPr>
        <b/>
        <sz val="12"/>
        <color indexed="18"/>
        <rFont val="Times New Roman"/>
        <family val="1"/>
        <charset val="238"/>
      </rPr>
      <t xml:space="preserve"> štatistickom výkaze </t>
    </r>
    <r>
      <rPr>
        <sz val="12"/>
        <color indexed="18"/>
        <rFont val="Times New Roman"/>
        <family val="1"/>
        <charset val="238"/>
      </rPr>
      <t xml:space="preserve"> </t>
    </r>
  </si>
  <si>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</si>
  <si>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</si>
  <si>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Slovenská technická univerzita v Bratislave
Názov fakulty:  </t>
  </si>
  <si>
    <t xml:space="preserve">Slovenská technická univerzita v Bratislave   
Názov fakulty:   </t>
  </si>
  <si>
    <t>Slovenská technická univerzita v Bratislave</t>
  </si>
  <si>
    <t>Slovenská technická univerzita v Bratislave
Názov fakulty:</t>
  </si>
  <si>
    <t xml:space="preserve">Slovenská technická univerzita v Bratislave
Názov fakulty: </t>
  </si>
  <si>
    <t xml:space="preserve">Slovenská technická univerzita v Bratislave  
Názov fakulty: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</si>
</sst>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S_k_-;\-* #,##0.00\ _S_k_-;_-* &quot;-&quot;??\ _S_k_-;_-@_-"/>
    <numFmt numFmtId="165" formatCode="#,##0_ ;[Red]\-#,##0\ "/>
    <numFmt numFmtId="166" formatCode="#,##0.00_ ;[Red]\-#,##0.00\ "/>
    <numFmt numFmtId="167" formatCode="_-* #,##0\ _S_k_-;\-* #,##0\ _S_k_-;_-* &quot;-&quot;??\ _S_k_-;_-@_-"/>
    <numFmt numFmtId="168" formatCode="#,##0.0"/>
    <numFmt numFmtId="169" formatCode="_-* #,##0.0\ _S_k_-;\-* #,##0.0\ _S_k_-;_-* &quot;-&quot;??\ _S_k_-;_-@_-"/>
  </numFmts>
  <fonts count="16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b/>
      <vertAlign val="superscript"/>
      <sz val="12"/>
      <color indexed="8"/>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z val="12"/>
      <name val="Times New Roman"/>
      <family val="2"/>
      <charset val="238"/>
    </font>
    <font>
      <b/>
      <sz val="12"/>
      <color indexed="17"/>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8"/>
      <color indexed="81"/>
      <name val="Tahoma"/>
      <family val="2"/>
      <charset val="238"/>
    </font>
    <font>
      <b/>
      <sz val="8"/>
      <color indexed="81"/>
      <name val="Tahoma"/>
      <family val="2"/>
      <charset val="238"/>
    </font>
    <font>
      <sz val="12"/>
      <color indexed="8"/>
      <name val="Times New Roman"/>
      <family val="1"/>
    </font>
    <font>
      <b/>
      <vertAlign val="superscript"/>
      <sz val="12"/>
      <name val="Times New Roman"/>
      <family val="1"/>
    </font>
    <font>
      <sz val="12"/>
      <color indexed="12"/>
      <name val="Times New Roman"/>
      <family val="1"/>
      <charset val="238"/>
    </font>
    <font>
      <b/>
      <u/>
      <sz val="14"/>
      <name val="Times New Roman"/>
      <family val="1"/>
      <charset val="238"/>
    </font>
    <font>
      <b/>
      <sz val="11"/>
      <name val="Times New Roman"/>
      <family val="1"/>
    </font>
    <font>
      <sz val="10"/>
      <color indexed="81"/>
      <name val="Tahoma"/>
      <family val="2"/>
      <charset val="238"/>
    </font>
    <font>
      <u/>
      <sz val="10"/>
      <color indexed="81"/>
      <name val="Tahoma"/>
      <family val="2"/>
      <charset val="238"/>
    </font>
    <font>
      <b/>
      <sz val="10"/>
      <color indexed="81"/>
      <name val="Tahoma"/>
      <family val="2"/>
      <charset val="238"/>
    </font>
    <font>
      <b/>
      <sz val="10"/>
      <color indexed="8"/>
      <name val="Times New Roman"/>
      <family val="1"/>
      <charset val="238"/>
    </font>
    <font>
      <b/>
      <sz val="11"/>
      <color indexed="8"/>
      <name val="Times New Roman"/>
      <family val="1"/>
    </font>
    <font>
      <u/>
      <sz val="12"/>
      <color indexed="8"/>
      <name val="Times New Roman"/>
      <family val="1"/>
      <charset val="238"/>
    </font>
    <font>
      <b/>
      <sz val="12"/>
      <color indexed="8"/>
      <name val="Times New Roman"/>
      <family val="1"/>
    </font>
    <font>
      <b/>
      <sz val="14"/>
      <color indexed="10"/>
      <name val="Times New Roman"/>
      <family val="1"/>
      <charset val="238"/>
    </font>
    <font>
      <b/>
      <vertAlign val="superscript"/>
      <sz val="12"/>
      <color indexed="8"/>
      <name val="Times New Roman"/>
      <family val="1"/>
    </font>
    <font>
      <vertAlign val="superscript"/>
      <sz val="12"/>
      <color indexed="8"/>
      <name val="Times New Roman"/>
      <family val="1"/>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i/>
      <sz val="12"/>
      <color rgb="FFFF0000"/>
      <name val="Times New Roman"/>
      <family val="1"/>
      <charset val="238"/>
    </font>
    <font>
      <b/>
      <sz val="12"/>
      <color rgb="FFFF0000"/>
      <name val="Times New Roman"/>
      <family val="1"/>
      <charset val="238"/>
    </font>
    <font>
      <b/>
      <sz val="12"/>
      <color rgb="FFFF0000"/>
      <name val="Times New Roman"/>
      <family val="1"/>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vertAlign val="superscript"/>
      <sz val="12"/>
      <color theme="1"/>
      <name val="Times New Roman"/>
      <family val="1"/>
    </font>
    <font>
      <u/>
      <sz val="12"/>
      <color theme="1"/>
      <name val="Times New Roman"/>
      <family val="1"/>
      <charset val="238"/>
    </font>
    <font>
      <i/>
      <sz val="12"/>
      <color rgb="FF0000FF"/>
      <name val="Times New Roman"/>
      <family val="1"/>
      <charset val="238"/>
    </font>
    <font>
      <vertAlign val="superscript"/>
      <sz val="11"/>
      <name val="Times New Roman"/>
      <family val="1"/>
      <charset val="238"/>
    </font>
    <font>
      <b/>
      <sz val="11"/>
      <color rgb="FFFF0000"/>
      <name val="Times New Roman"/>
      <family val="1"/>
    </font>
    <font>
      <sz val="12"/>
      <color rgb="FF0070C0"/>
      <name val="Times New Roman"/>
      <family val="1"/>
    </font>
    <font>
      <sz val="10"/>
      <color rgb="FF0000FF"/>
      <name val="Arial"/>
      <family val="2"/>
      <charset val="238"/>
    </font>
    <font>
      <vertAlign val="superscript"/>
      <sz val="12"/>
      <color rgb="FFFF0000"/>
      <name val="Times New Roman"/>
      <family val="1"/>
    </font>
    <font>
      <b/>
      <sz val="12"/>
      <color rgb="FF00B0F0"/>
      <name val="Times New Roman"/>
      <family val="1"/>
      <charset val="238"/>
    </font>
    <font>
      <sz val="14"/>
      <color indexed="8"/>
      <name val="Times New Roman"/>
      <family val="1"/>
    </font>
    <font>
      <b/>
      <sz val="12"/>
      <color rgb="FF0000FF"/>
      <name val="Times New Roman"/>
      <family val="1"/>
      <charset val="238"/>
    </font>
    <font>
      <sz val="14"/>
      <name val="Times New Roman"/>
      <family val="1"/>
      <charset val="238"/>
    </font>
    <font>
      <sz val="12"/>
      <color rgb="FF0000FF"/>
      <name val="Times New Roman"/>
      <family val="1"/>
    </font>
    <font>
      <sz val="12"/>
      <color rgb="FF0000FF"/>
      <name val="Times New Roman"/>
      <family val="1"/>
      <charset val="238"/>
    </font>
    <font>
      <b/>
      <sz val="12"/>
      <color rgb="FF0000FF"/>
      <name val="Times New Roman"/>
      <family val="1"/>
    </font>
    <font>
      <sz val="11"/>
      <color indexed="10"/>
      <name val="Times New Roman"/>
      <family val="1"/>
      <charset val="238"/>
    </font>
    <font>
      <sz val="11"/>
      <color rgb="FFFF0000"/>
      <name val="Times New Roman"/>
      <family val="1"/>
      <charset val="238"/>
    </font>
    <font>
      <sz val="11"/>
      <color rgb="FF0000FF"/>
      <name val="Arial"/>
      <family val="2"/>
      <charset val="238"/>
    </font>
    <font>
      <b/>
      <sz val="9"/>
      <color indexed="81"/>
      <name val="Tahoma"/>
      <family val="2"/>
      <charset val="238"/>
    </font>
    <font>
      <sz val="9"/>
      <color indexed="81"/>
      <name val="Tahoma"/>
      <family val="2"/>
      <charset val="238"/>
    </font>
    <font>
      <sz val="9"/>
      <color rgb="FFFF0000"/>
      <name val="Times New Roman"/>
      <family val="1"/>
      <charset val="238"/>
    </font>
    <font>
      <sz val="8"/>
      <color rgb="FFFF0000"/>
      <name val="Times New Roman"/>
      <family val="1"/>
      <charset val="238"/>
    </font>
    <font>
      <sz val="9"/>
      <color rgb="FFFF0000"/>
      <name val="Times New Roman"/>
      <family val="1"/>
    </font>
    <font>
      <b/>
      <sz val="9"/>
      <color rgb="FFFF0000"/>
      <name val="Times New Roman"/>
      <family val="1"/>
    </font>
    <font>
      <sz val="9"/>
      <name val="Times New Roman"/>
      <family val="1"/>
    </font>
    <font>
      <i/>
      <sz val="9"/>
      <name val="Times New Roman"/>
      <family val="1"/>
    </font>
    <font>
      <sz val="8"/>
      <color rgb="FFFF0000"/>
      <name val="Times New Roman"/>
      <family val="1"/>
    </font>
    <font>
      <sz val="8"/>
      <color rgb="FF0000FF"/>
      <name val="Times New Roman"/>
      <family val="1"/>
    </font>
    <font>
      <sz val="8"/>
      <name val="Times New Roman"/>
      <family val="1"/>
    </font>
    <font>
      <sz val="8"/>
      <color rgb="FF0000FF"/>
      <name val="Arial"/>
      <family val="2"/>
      <charset val="238"/>
    </font>
    <font>
      <b/>
      <sz val="8"/>
      <name val="Times New Roman"/>
      <family val="1"/>
      <charset val="238"/>
    </font>
    <font>
      <sz val="10"/>
      <color rgb="FFFF0000"/>
      <name val="Times New Roman"/>
      <family val="1"/>
      <charset val="238"/>
    </font>
    <font>
      <b/>
      <sz val="10"/>
      <color rgb="FFFF0000"/>
      <name val="Times New Roman"/>
      <family val="1"/>
      <charset val="238"/>
    </font>
    <font>
      <sz val="10"/>
      <name val="Arial CE"/>
      <family val="2"/>
      <charset val="238"/>
    </font>
    <font>
      <sz val="8"/>
      <color rgb="FFFF0000"/>
      <name val="Arial"/>
      <family val="2"/>
      <charset val="238"/>
    </font>
    <font>
      <sz val="10"/>
      <color theme="6" tint="-0.249977111117893"/>
      <name val="Arial"/>
      <family val="2"/>
      <charset val="238"/>
    </font>
    <font>
      <sz val="12"/>
      <color indexed="18"/>
      <name val="Times New Roman"/>
      <family val="1"/>
      <charset val="238"/>
    </font>
    <font>
      <sz val="12"/>
      <color indexed="17"/>
      <name val="Times New Roman"/>
      <family val="1"/>
      <charset val="238"/>
    </font>
    <font>
      <b/>
      <sz val="12"/>
      <color indexed="18"/>
      <name val="Times New Roman"/>
      <family val="1"/>
      <charset val="238"/>
    </font>
    <font>
      <sz val="14"/>
      <color rgb="FF00B050"/>
      <name val="Times New Roman"/>
      <family val="1"/>
    </font>
    <font>
      <b/>
      <sz val="14"/>
      <color rgb="FF00B050"/>
      <name val="Times New Roman"/>
      <family val="1"/>
    </font>
    <font>
      <b/>
      <sz val="12"/>
      <color theme="5" tint="-0.249977111117893"/>
      <name val="Times New Roman"/>
      <family val="1"/>
    </font>
    <font>
      <b/>
      <sz val="12"/>
      <color rgb="FF00B050"/>
      <name val="Times New Roman"/>
      <family val="1"/>
    </font>
    <font>
      <sz val="12"/>
      <color theme="3" tint="0.39997558519241921"/>
      <name val="Times New Roman"/>
      <family val="1"/>
    </font>
    <font>
      <sz val="12"/>
      <color theme="4" tint="-0.249977111117893"/>
      <name val="Times New Roman"/>
      <family val="1"/>
    </font>
    <font>
      <sz val="8"/>
      <name val="Times New Roman"/>
      <family val="1"/>
      <charset val="23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107">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4" fontId="3" fillId="0" borderId="0" applyFont="0" applyFill="0" applyBorder="0" applyAlignment="0" applyProtection="0"/>
    <xf numFmtId="164" fontId="2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1" fillId="0" borderId="0"/>
    <xf numFmtId="0" fontId="98" fillId="0" borderId="0"/>
    <xf numFmtId="0" fontId="21" fillId="0" borderId="0"/>
    <xf numFmtId="0" fontId="21" fillId="0" borderId="0"/>
    <xf numFmtId="0" fontId="65" fillId="0" borderId="0"/>
    <xf numFmtId="0" fontId="25" fillId="0" borderId="0"/>
    <xf numFmtId="0" fontId="55" fillId="0" borderId="0"/>
    <xf numFmtId="0" fontId="45" fillId="23" borderId="7" applyNumberFormat="0" applyFont="0" applyAlignment="0" applyProtection="0"/>
    <xf numFmtId="0" fontId="56" fillId="20" borderId="8" applyNumberFormat="0" applyAlignment="0" applyProtection="0"/>
    <xf numFmtId="4" fontId="16" fillId="22" borderId="9" applyNumberFormat="0" applyProtection="0">
      <alignment vertical="center"/>
    </xf>
    <xf numFmtId="4" fontId="17" fillId="24" borderId="9" applyNumberFormat="0" applyProtection="0">
      <alignment vertical="center"/>
    </xf>
    <xf numFmtId="4" fontId="16" fillId="24" borderId="9" applyNumberFormat="0" applyProtection="0">
      <alignment horizontal="left" vertical="center" indent="1"/>
    </xf>
    <xf numFmtId="0" fontId="16" fillId="24" borderId="9" applyNumberFormat="0" applyProtection="0">
      <alignment horizontal="left" vertical="top" indent="1"/>
    </xf>
    <xf numFmtId="4" fontId="18" fillId="3" borderId="9" applyNumberFormat="0" applyProtection="0">
      <alignment horizontal="right" vertical="center"/>
    </xf>
    <xf numFmtId="4" fontId="18" fillId="9" borderId="9" applyNumberFormat="0" applyProtection="0">
      <alignment horizontal="right" vertical="center"/>
    </xf>
    <xf numFmtId="4" fontId="18" fillId="17" borderId="9" applyNumberFormat="0" applyProtection="0">
      <alignment horizontal="right" vertical="center"/>
    </xf>
    <xf numFmtId="4" fontId="18" fillId="11" borderId="9" applyNumberFormat="0" applyProtection="0">
      <alignment horizontal="right" vertical="center"/>
    </xf>
    <xf numFmtId="4" fontId="18" fillId="15" borderId="9" applyNumberFormat="0" applyProtection="0">
      <alignment horizontal="right" vertical="center"/>
    </xf>
    <xf numFmtId="4" fontId="18" fillId="19" borderId="9" applyNumberFormat="0" applyProtection="0">
      <alignment horizontal="right" vertical="center"/>
    </xf>
    <xf numFmtId="4" fontId="18" fillId="18" borderId="9" applyNumberFormat="0" applyProtection="0">
      <alignment horizontal="right" vertical="center"/>
    </xf>
    <xf numFmtId="4" fontId="18" fillId="25" borderId="9" applyNumberFormat="0" applyProtection="0">
      <alignment horizontal="right" vertical="center"/>
    </xf>
    <xf numFmtId="4" fontId="18" fillId="10" borderId="9" applyNumberFormat="0" applyProtection="0">
      <alignment horizontal="right" vertical="center"/>
    </xf>
    <xf numFmtId="4" fontId="16" fillId="26" borderId="10" applyNumberFormat="0" applyProtection="0">
      <alignment horizontal="left" vertical="center" indent="1"/>
    </xf>
    <xf numFmtId="4" fontId="18" fillId="27" borderId="0" applyNumberFormat="0" applyProtection="0">
      <alignment horizontal="left" vertical="center" indent="1"/>
    </xf>
    <xf numFmtId="4" fontId="19" fillId="28" borderId="0" applyNumberFormat="0" applyProtection="0">
      <alignment horizontal="left" vertical="center" indent="1"/>
    </xf>
    <xf numFmtId="4" fontId="18" fillId="29" borderId="9" applyNumberFormat="0" applyProtection="0">
      <alignment horizontal="right" vertical="center"/>
    </xf>
    <xf numFmtId="4" fontId="20" fillId="27" borderId="0" applyNumberFormat="0" applyProtection="0">
      <alignment horizontal="left" vertical="center" indent="1"/>
    </xf>
    <xf numFmtId="4" fontId="20" fillId="30" borderId="0" applyNumberFormat="0" applyProtection="0">
      <alignment horizontal="left" vertical="center" indent="1"/>
    </xf>
    <xf numFmtId="0" fontId="21" fillId="28" borderId="9" applyNumberFormat="0" applyProtection="0">
      <alignment horizontal="left" vertical="center" indent="1"/>
    </xf>
    <xf numFmtId="0" fontId="21" fillId="28" borderId="9" applyNumberFormat="0" applyProtection="0">
      <alignment horizontal="left" vertical="top" indent="1"/>
    </xf>
    <xf numFmtId="0" fontId="21" fillId="30" borderId="9" applyNumberFormat="0" applyProtection="0">
      <alignment horizontal="left" vertical="center" indent="1"/>
    </xf>
    <xf numFmtId="0" fontId="21" fillId="30" borderId="9" applyNumberFormat="0" applyProtection="0">
      <alignment horizontal="left" vertical="top" indent="1"/>
    </xf>
    <xf numFmtId="0" fontId="21" fillId="31" borderId="9" applyNumberFormat="0" applyProtection="0">
      <alignment horizontal="left" vertical="center" indent="1"/>
    </xf>
    <xf numFmtId="0" fontId="21" fillId="31" borderId="9" applyNumberFormat="0" applyProtection="0">
      <alignment horizontal="left" vertical="top" indent="1"/>
    </xf>
    <xf numFmtId="0" fontId="21" fillId="32" borderId="9" applyNumberFormat="0" applyProtection="0">
      <alignment horizontal="left" vertical="center" indent="1"/>
    </xf>
    <xf numFmtId="0" fontId="21" fillId="32" borderId="9" applyNumberFormat="0" applyProtection="0">
      <alignment horizontal="left" vertical="top" indent="1"/>
    </xf>
    <xf numFmtId="4" fontId="16" fillId="30" borderId="0" applyNumberFormat="0" applyProtection="0">
      <alignment horizontal="left" vertical="center" indent="1"/>
    </xf>
    <xf numFmtId="4" fontId="18" fillId="33" borderId="9" applyNumberFormat="0" applyProtection="0">
      <alignment vertical="center"/>
    </xf>
    <xf numFmtId="4" fontId="22" fillId="33" borderId="9" applyNumberFormat="0" applyProtection="0">
      <alignment vertical="center"/>
    </xf>
    <xf numFmtId="4" fontId="18" fillId="33" borderId="9" applyNumberFormat="0" applyProtection="0">
      <alignment horizontal="left" vertical="center" indent="1"/>
    </xf>
    <xf numFmtId="0" fontId="18" fillId="33" borderId="9" applyNumberFormat="0" applyProtection="0">
      <alignment horizontal="left" vertical="top" indent="1"/>
    </xf>
    <xf numFmtId="4" fontId="18" fillId="27" borderId="9" applyNumberFormat="0" applyProtection="0">
      <alignment horizontal="right" vertical="center"/>
    </xf>
    <xf numFmtId="4" fontId="22" fillId="27" borderId="9" applyNumberFormat="0" applyProtection="0">
      <alignment horizontal="right" vertical="center"/>
    </xf>
    <xf numFmtId="4" fontId="18" fillId="29" borderId="9" applyNumberFormat="0" applyProtection="0">
      <alignment horizontal="left" vertical="center" indent="1"/>
    </xf>
    <xf numFmtId="0" fontId="18" fillId="30" borderId="9" applyNumberFormat="0" applyProtection="0">
      <alignment horizontal="left" vertical="top" indent="1"/>
    </xf>
    <xf numFmtId="4" fontId="23" fillId="34" borderId="0" applyNumberFormat="0" applyProtection="0">
      <alignment horizontal="left" vertical="center" indent="1"/>
    </xf>
    <xf numFmtId="4" fontId="24"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10" fillId="23" borderId="7" applyNumberFormat="0" applyFont="0" applyAlignment="0" applyProtection="0"/>
    <xf numFmtId="0" fontId="3" fillId="28" borderId="9" applyNumberFormat="0" applyProtection="0">
      <alignment horizontal="left" vertical="center" indent="1"/>
    </xf>
    <xf numFmtId="0" fontId="3" fillId="28" borderId="9" applyNumberFormat="0" applyProtection="0">
      <alignment horizontal="left" vertical="top" indent="1"/>
    </xf>
    <xf numFmtId="0" fontId="3" fillId="30" borderId="9" applyNumberFormat="0" applyProtection="0">
      <alignment horizontal="left" vertical="center" indent="1"/>
    </xf>
    <xf numFmtId="0" fontId="3" fillId="30" borderId="9" applyNumberFormat="0" applyProtection="0">
      <alignment horizontal="left" vertical="top" indent="1"/>
    </xf>
    <xf numFmtId="0" fontId="3" fillId="31" borderId="9" applyNumberFormat="0" applyProtection="0">
      <alignment horizontal="left" vertical="center" indent="1"/>
    </xf>
    <xf numFmtId="0" fontId="3" fillId="31" borderId="9" applyNumberFormat="0" applyProtection="0">
      <alignment horizontal="left" vertical="top" indent="1"/>
    </xf>
    <xf numFmtId="0" fontId="3" fillId="32" borderId="9" applyNumberFormat="0" applyProtection="0">
      <alignment horizontal="left" vertical="center" indent="1"/>
    </xf>
    <xf numFmtId="0" fontId="3" fillId="32" borderId="9" applyNumberFormat="0" applyProtection="0">
      <alignment horizontal="left" vertical="top" indent="1"/>
    </xf>
    <xf numFmtId="0" fontId="151" fillId="0" borderId="0"/>
    <xf numFmtId="0" fontId="26" fillId="0" borderId="0"/>
    <xf numFmtId="0" fontId="2" fillId="0" borderId="0"/>
    <xf numFmtId="0" fontId="1" fillId="0" borderId="0"/>
  </cellStyleXfs>
  <cellXfs count="1102">
    <xf numFmtId="0" fontId="0" fillId="0" borderId="0" xfId="0"/>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2" xfId="0" applyFont="1" applyBorder="1" applyAlignment="1">
      <alignment horizontal="center" vertical="center"/>
    </xf>
    <xf numFmtId="0" fontId="4" fillId="0" borderId="0" xfId="0" applyFont="1" applyBorder="1" applyAlignment="1">
      <alignment horizontal="center" vertical="center"/>
    </xf>
    <xf numFmtId="49" fontId="5" fillId="0" borderId="0" xfId="0" applyNumberFormat="1" applyFont="1"/>
    <xf numFmtId="0" fontId="6" fillId="0" borderId="0" xfId="0" applyFont="1" applyAlignment="1">
      <alignment horizontal="center" vertical="center" wrapText="1"/>
    </xf>
    <xf numFmtId="49" fontId="5" fillId="0" borderId="0" xfId="0" applyNumberFormat="1" applyFont="1" applyBorder="1"/>
    <xf numFmtId="49" fontId="5" fillId="0" borderId="0" xfId="0" applyNumberFormat="1" applyFont="1" applyAlignment="1">
      <alignment horizontal="left" vertical="center"/>
    </xf>
    <xf numFmtId="0" fontId="4" fillId="0" borderId="0" xfId="0" applyFont="1"/>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wrapText="1"/>
    </xf>
    <xf numFmtId="0" fontId="4" fillId="0" borderId="13"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4" fillId="0" borderId="13" xfId="0" applyNumberFormat="1"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horizontal="right"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left" vertical="center" wrapText="1"/>
    </xf>
    <xf numFmtId="49" fontId="5" fillId="0" borderId="13" xfId="0" applyNumberFormat="1" applyFont="1" applyBorder="1" applyAlignment="1">
      <alignment horizontal="left" vertical="center" wrapText="1" indent="1"/>
    </xf>
    <xf numFmtId="49" fontId="4" fillId="0" borderId="13" xfId="0" applyNumberFormat="1" applyFont="1" applyBorder="1" applyAlignment="1">
      <alignmen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9" fillId="0" borderId="14" xfId="0" applyFont="1" applyBorder="1" applyAlignment="1">
      <alignment horizontal="center" vertical="center" wrapText="1"/>
    </xf>
    <xf numFmtId="0" fontId="10" fillId="0" borderId="0" xfId="0" applyFont="1" applyAlignment="1">
      <alignment horizontal="left" vertical="center" wrapText="1"/>
    </xf>
    <xf numFmtId="0" fontId="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5" fillId="0" borderId="0" xfId="0" applyFont="1" applyFill="1"/>
    <xf numFmtId="49" fontId="4" fillId="0" borderId="13" xfId="0" applyNumberFormat="1" applyFont="1" applyBorder="1" applyAlignment="1">
      <alignment horizontal="left" vertical="center" wrapText="1" indent="1"/>
    </xf>
    <xf numFmtId="49" fontId="5" fillId="0" borderId="13" xfId="0" applyNumberFormat="1" applyFont="1" applyFill="1" applyBorder="1" applyAlignment="1">
      <alignment horizontal="left" vertical="center" wrapText="1" indent="1"/>
    </xf>
    <xf numFmtId="49" fontId="4" fillId="0" borderId="17" xfId="0" applyNumberFormat="1" applyFont="1" applyBorder="1" applyAlignment="1">
      <alignment horizontal="left" vertical="center" wrapText="1" indent="1"/>
    </xf>
    <xf numFmtId="49" fontId="5" fillId="0" borderId="0" xfId="0" applyNumberFormat="1" applyFont="1" applyBorder="1" applyAlignment="1">
      <alignment horizontal="left" vertical="center" wrapText="1" indent="1"/>
    </xf>
    <xf numFmtId="49" fontId="5" fillId="0" borderId="0" xfId="0" applyNumberFormat="1" applyFont="1" applyAlignment="1">
      <alignment horizontal="left" vertical="center" wrapText="1" indent="1"/>
    </xf>
    <xf numFmtId="3" fontId="5" fillId="35" borderId="13" xfId="0" applyNumberFormat="1" applyFont="1" applyFill="1" applyBorder="1" applyAlignment="1">
      <alignment horizontal="right" vertical="center" wrapText="1" indent="1"/>
    </xf>
    <xf numFmtId="49" fontId="4" fillId="0" borderId="13" xfId="0" applyNumberFormat="1" applyFont="1" applyBorder="1" applyAlignment="1">
      <alignment horizontal="left" vertical="top" wrapText="1" indent="1"/>
    </xf>
    <xf numFmtId="49" fontId="5" fillId="0" borderId="13" xfId="0" applyNumberFormat="1" applyFont="1" applyBorder="1" applyAlignment="1">
      <alignment horizontal="left" vertical="top" wrapText="1" indent="1"/>
    </xf>
    <xf numFmtId="3" fontId="9" fillId="24" borderId="13" xfId="0" applyNumberFormat="1" applyFont="1" applyFill="1" applyBorder="1" applyAlignment="1">
      <alignment horizontal="right" vertical="center" wrapText="1" indent="1"/>
    </xf>
    <xf numFmtId="49" fontId="9"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4" fillId="0" borderId="17" xfId="0" applyNumberFormat="1" applyFont="1" applyFill="1" applyBorder="1" applyAlignment="1">
      <alignment horizontal="left" vertical="center" wrapText="1" indent="1"/>
    </xf>
    <xf numFmtId="3" fontId="5" fillId="0" borderId="13" xfId="0" applyNumberFormat="1" applyFont="1" applyFill="1" applyBorder="1" applyAlignment="1">
      <alignment horizontal="right" vertical="center" wrapText="1" indent="1"/>
    </xf>
    <xf numFmtId="0" fontId="9" fillId="24" borderId="14" xfId="0" applyFont="1" applyFill="1" applyBorder="1" applyAlignment="1">
      <alignment horizontal="right" vertical="center" wrapText="1" indent="1"/>
    </xf>
    <xf numFmtId="0" fontId="9" fillId="0" borderId="13"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0" xfId="0" applyFont="1" applyAlignment="1">
      <alignment horizontal="left" vertical="center" wrapText="1" indent="1"/>
    </xf>
    <xf numFmtId="49" fontId="5" fillId="0" borderId="0" xfId="0" applyNumberFormat="1" applyFont="1" applyAlignment="1">
      <alignment vertical="center" wrapText="1"/>
    </xf>
    <xf numFmtId="3" fontId="9" fillId="0" borderId="0" xfId="45" applyNumberFormat="1" applyFont="1" applyBorder="1" applyAlignment="1">
      <alignment vertical="center" wrapText="1"/>
    </xf>
    <xf numFmtId="3" fontId="9" fillId="0" borderId="0" xfId="45" applyNumberFormat="1" applyFont="1" applyBorder="1" applyAlignment="1">
      <alignment horizontal="center" vertical="center" wrapText="1"/>
    </xf>
    <xf numFmtId="3" fontId="10" fillId="0" borderId="0" xfId="45" applyNumberFormat="1" applyFont="1" applyBorder="1" applyAlignment="1">
      <alignmen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10" fillId="24" borderId="18" xfId="0" applyFont="1" applyFill="1" applyBorder="1" applyAlignment="1">
      <alignment horizontal="right" vertical="center" wrapText="1" indent="1"/>
    </xf>
    <xf numFmtId="3" fontId="9" fillId="35" borderId="13" xfId="0" applyNumberFormat="1" applyFont="1" applyFill="1" applyBorder="1" applyAlignment="1">
      <alignment horizontal="right" vertical="center" wrapText="1" indent="1"/>
    </xf>
    <xf numFmtId="3" fontId="9" fillId="0" borderId="14"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indent="1"/>
    </xf>
    <xf numFmtId="0" fontId="9" fillId="0" borderId="17" xfId="0" applyFont="1" applyBorder="1" applyAlignment="1">
      <alignment horizontal="left" vertical="center" wrapText="1" indent="1"/>
    </xf>
    <xf numFmtId="3" fontId="9" fillId="35" borderId="14" xfId="0" applyNumberFormat="1" applyFont="1" applyFill="1" applyBorder="1" applyAlignment="1">
      <alignment horizontal="right" vertical="center" wrapText="1" indent="1"/>
    </xf>
    <xf numFmtId="49" fontId="4" fillId="0" borderId="13" xfId="0" applyNumberFormat="1" applyFont="1" applyBorder="1" applyAlignment="1">
      <alignment horizontal="lef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0" xfId="0" applyBorder="1"/>
    <xf numFmtId="0" fontId="9" fillId="0" borderId="13" xfId="0" applyFont="1" applyBorder="1" applyAlignment="1">
      <alignment horizontal="left" vertical="center" wrapText="1"/>
    </xf>
    <xf numFmtId="0" fontId="9" fillId="0" borderId="13" xfId="0" applyFont="1" applyFill="1" applyBorder="1" applyAlignment="1">
      <alignment horizontal="left" vertical="center" wrapText="1" indent="1"/>
    </xf>
    <xf numFmtId="0" fontId="10" fillId="0" borderId="0" xfId="0" applyFont="1"/>
    <xf numFmtId="1" fontId="5" fillId="0" borderId="13" xfId="0" applyNumberFormat="1" applyFont="1" applyFill="1" applyBorder="1" applyAlignment="1">
      <alignment horizontal="center" vertical="center" wrapText="1"/>
    </xf>
    <xf numFmtId="49" fontId="9" fillId="0" borderId="17" xfId="0" applyNumberFormat="1" applyFont="1" applyFill="1" applyBorder="1" applyAlignment="1">
      <alignment horizontal="left" vertical="center" wrapText="1" indent="1"/>
    </xf>
    <xf numFmtId="49" fontId="9" fillId="0" borderId="13" xfId="0" applyNumberFormat="1" applyFont="1" applyBorder="1" applyAlignment="1">
      <alignment vertical="center" wrapText="1"/>
    </xf>
    <xf numFmtId="0" fontId="9"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3" xfId="45" applyFont="1" applyBorder="1" applyAlignment="1">
      <alignment horizontal="center" vertical="center" wrapText="1"/>
    </xf>
    <xf numFmtId="3" fontId="10" fillId="0" borderId="13" xfId="45" applyNumberFormat="1" applyFont="1" applyBorder="1" applyAlignment="1">
      <alignment horizontal="center" vertical="center" wrapText="1"/>
    </xf>
    <xf numFmtId="0" fontId="9" fillId="0" borderId="14" xfId="45" applyFont="1" applyBorder="1" applyAlignment="1">
      <alignment horizontal="center" vertical="center" wrapText="1"/>
    </xf>
    <xf numFmtId="3" fontId="10" fillId="0" borderId="15" xfId="45" applyNumberFormat="1" applyFont="1" applyBorder="1" applyAlignment="1">
      <alignment vertical="center" wrapText="1"/>
    </xf>
    <xf numFmtId="3" fontId="10" fillId="0" borderId="14" xfId="45" applyNumberFormat="1" applyFont="1" applyBorder="1" applyAlignment="1">
      <alignment horizontal="center" vertical="center" wrapText="1"/>
    </xf>
    <xf numFmtId="3" fontId="10" fillId="0" borderId="16" xfId="45" applyNumberFormat="1"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3" xfId="0" applyFont="1" applyBorder="1" applyAlignment="1">
      <alignment horizontal="left" vertical="center" wrapText="1" indent="1"/>
    </xf>
    <xf numFmtId="0" fontId="10" fillId="0" borderId="13" xfId="0" applyFont="1" applyBorder="1" applyAlignment="1">
      <alignment horizontal="center" vertical="center" wrapText="1"/>
    </xf>
    <xf numFmtId="0" fontId="9" fillId="0" borderId="15" xfId="0" applyFont="1" applyBorder="1" applyAlignment="1">
      <alignment horizontal="left" vertical="center" wrapText="1" indent="1"/>
    </xf>
    <xf numFmtId="0" fontId="9" fillId="0" borderId="19" xfId="0" applyFont="1" applyBorder="1" applyAlignment="1">
      <alignment horizontal="left" vertical="center" wrapText="1" indent="1"/>
    </xf>
    <xf numFmtId="49" fontId="10" fillId="0" borderId="13" xfId="0" applyNumberFormat="1" applyFont="1" applyBorder="1" applyAlignment="1">
      <alignment horizontal="left" vertical="center" wrapText="1" indent="1"/>
    </xf>
    <xf numFmtId="0" fontId="10" fillId="0" borderId="0" xfId="0" applyFont="1" applyFill="1" applyAlignment="1">
      <alignment vertical="center" wrapText="1"/>
    </xf>
    <xf numFmtId="0" fontId="10" fillId="0" borderId="0" xfId="0" applyFont="1" applyFill="1" applyAlignment="1">
      <alignment horizontal="left" vertical="center" wrapText="1" indent="1"/>
    </xf>
    <xf numFmtId="0" fontId="10" fillId="0" borderId="0" xfId="0" applyFont="1" applyFill="1" applyAlignment="1">
      <alignment horizontal="left" vertical="center" wrapText="1" indent="3"/>
    </xf>
    <xf numFmtId="0" fontId="10" fillId="0" borderId="0" xfId="0" applyFont="1" applyFill="1" applyAlignment="1">
      <alignment horizontal="left" vertical="center" wrapText="1" indent="2"/>
    </xf>
    <xf numFmtId="0" fontId="34" fillId="0" borderId="0" xfId="0" applyFont="1" applyBorder="1"/>
    <xf numFmtId="49" fontId="5" fillId="0" borderId="19" xfId="0" applyNumberFormat="1" applyFont="1" applyBorder="1" applyAlignment="1">
      <alignment horizontal="left" vertical="center" wrapText="1" indent="1"/>
    </xf>
    <xf numFmtId="0" fontId="9" fillId="0" borderId="17" xfId="0" applyFont="1" applyFill="1" applyBorder="1" applyAlignment="1">
      <alignment horizontal="left" vertical="center" wrapText="1" indent="1"/>
    </xf>
    <xf numFmtId="0" fontId="5" fillId="0" borderId="0" xfId="0" applyFont="1" applyFill="1" applyAlignment="1">
      <alignment vertical="center" wrapText="1"/>
    </xf>
    <xf numFmtId="0" fontId="5" fillId="0" borderId="0" xfId="0" applyFont="1" applyBorder="1" applyAlignment="1">
      <alignment wrapText="1"/>
    </xf>
    <xf numFmtId="0" fontId="0" fillId="0" borderId="0" xfId="0" applyFill="1"/>
    <xf numFmtId="0" fontId="31" fillId="0" borderId="0" xfId="0" applyFont="1" applyFill="1" applyAlignment="1">
      <alignment vertical="center" wrapText="1"/>
    </xf>
    <xf numFmtId="0" fontId="4" fillId="0" borderId="22" xfId="0" applyFont="1" applyBorder="1" applyAlignment="1">
      <alignment vertical="center" wrapText="1"/>
    </xf>
    <xf numFmtId="0" fontId="10" fillId="35" borderId="14" xfId="0" applyFont="1" applyFill="1" applyBorder="1" applyAlignment="1">
      <alignment horizontal="left" vertical="center" wrapText="1" indent="1"/>
    </xf>
    <xf numFmtId="0" fontId="37" fillId="0" borderId="0" xfId="0" applyFont="1"/>
    <xf numFmtId="0" fontId="9" fillId="0" borderId="23" xfId="0" applyFont="1" applyFill="1" applyBorder="1" applyAlignment="1">
      <alignment horizontal="center" vertical="center" wrapText="1"/>
    </xf>
    <xf numFmtId="0" fontId="9" fillId="0" borderId="0" xfId="0" applyFont="1" applyFill="1" applyAlignment="1">
      <alignment vertical="center" wrapText="1"/>
    </xf>
    <xf numFmtId="49" fontId="11" fillId="0" borderId="0" xfId="0" applyNumberFormat="1" applyFont="1" applyAlignment="1">
      <alignment horizontal="left" vertical="center" wrapText="1" indent="1"/>
    </xf>
    <xf numFmtId="49" fontId="10" fillId="0" borderId="13" xfId="0" applyNumberFormat="1" applyFont="1" applyFill="1" applyBorder="1" applyAlignment="1">
      <alignment horizontal="left" vertical="center" wrapText="1" indent="1"/>
    </xf>
    <xf numFmtId="0" fontId="0" fillId="0" borderId="0" xfId="0" applyAlignment="1">
      <alignment wrapText="1"/>
    </xf>
    <xf numFmtId="1" fontId="9" fillId="24" borderId="13" xfId="0" applyNumberFormat="1" applyFont="1" applyFill="1" applyBorder="1" applyAlignment="1">
      <alignment horizontal="right" vertical="center" wrapText="1" indent="1"/>
    </xf>
    <xf numFmtId="0" fontId="10" fillId="0" borderId="15" xfId="0" applyFont="1" applyFill="1" applyBorder="1" applyAlignment="1">
      <alignment horizontal="center" vertical="center" wrapText="1"/>
    </xf>
    <xf numFmtId="3" fontId="4" fillId="0" borderId="14" xfId="0" applyNumberFormat="1" applyFont="1" applyFill="1" applyBorder="1" applyAlignment="1">
      <alignment horizontal="right" vertical="center" wrapText="1" indent="1"/>
    </xf>
    <xf numFmtId="49" fontId="5" fillId="0" borderId="0" xfId="0" applyNumberFormat="1" applyFont="1" applyAlignment="1">
      <alignment horizontal="left" wrapText="1"/>
    </xf>
    <xf numFmtId="0" fontId="5" fillId="0" borderId="0" xfId="0" applyFont="1" applyAlignment="1">
      <alignment horizontal="justify"/>
    </xf>
    <xf numFmtId="0" fontId="5" fillId="0" borderId="16" xfId="0" applyFont="1" applyFill="1" applyBorder="1" applyAlignment="1">
      <alignment horizontal="center" vertical="center"/>
    </xf>
    <xf numFmtId="0" fontId="4" fillId="0" borderId="17" xfId="0" applyFont="1" applyFill="1" applyBorder="1" applyAlignment="1">
      <alignment horizontal="left" wrapText="1" indent="1"/>
    </xf>
    <xf numFmtId="49" fontId="5" fillId="0" borderId="0" xfId="0" applyNumberFormat="1" applyFont="1" applyAlignment="1">
      <alignment horizontal="left" wrapText="1" indent="1"/>
    </xf>
    <xf numFmtId="0" fontId="5"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4" fillId="0" borderId="15" xfId="0" applyFont="1" applyFill="1" applyBorder="1" applyAlignment="1">
      <alignment horizontal="center" vertical="center" wrapText="1"/>
    </xf>
    <xf numFmtId="0" fontId="26" fillId="35" borderId="14" xfId="0" applyFont="1" applyFill="1" applyBorder="1" applyAlignment="1">
      <alignment horizontal="left" vertical="center" wrapText="1" indent="1"/>
    </xf>
    <xf numFmtId="0" fontId="10" fillId="35" borderId="26" xfId="0" applyFont="1" applyFill="1" applyBorder="1" applyAlignment="1">
      <alignment horizontal="left" vertical="center" wrapText="1" indent="1"/>
    </xf>
    <xf numFmtId="3" fontId="10" fillId="35" borderId="13" xfId="0" applyNumberFormat="1" applyFont="1" applyFill="1" applyBorder="1" applyAlignment="1">
      <alignment horizontal="right" vertical="center" wrapText="1" indent="1"/>
    </xf>
    <xf numFmtId="1" fontId="5" fillId="35" borderId="13" xfId="0" applyNumberFormat="1" applyFont="1" applyFill="1" applyBorder="1" applyAlignment="1">
      <alignment horizontal="right" vertical="center" wrapText="1" indent="1"/>
    </xf>
    <xf numFmtId="3" fontId="10" fillId="35" borderId="14" xfId="0" applyNumberFormat="1" applyFont="1" applyFill="1" applyBorder="1" applyAlignment="1">
      <alignment horizontal="right" vertical="center" wrapText="1" indent="1"/>
    </xf>
    <xf numFmtId="167" fontId="5" fillId="35" borderId="13" xfId="27" applyNumberFormat="1" applyFont="1" applyFill="1" applyBorder="1" applyAlignment="1">
      <alignment horizontal="right" vertical="center" wrapText="1" indent="1"/>
    </xf>
    <xf numFmtId="167" fontId="5" fillId="37" borderId="13" xfId="27" applyNumberFormat="1" applyFont="1" applyFill="1" applyBorder="1" applyAlignment="1">
      <alignment horizontal="right" vertical="center" wrapText="1" indent="1"/>
    </xf>
    <xf numFmtId="3" fontId="10" fillId="0" borderId="13" xfId="0" applyNumberFormat="1" applyFont="1" applyBorder="1" applyAlignment="1">
      <alignment horizontal="center" vertical="center" wrapText="1"/>
    </xf>
    <xf numFmtId="1" fontId="5" fillId="35" borderId="14" xfId="0" applyNumberFormat="1" applyFont="1" applyFill="1" applyBorder="1" applyAlignment="1">
      <alignment horizontal="right" vertical="center" wrapText="1" indent="1"/>
    </xf>
    <xf numFmtId="1" fontId="5" fillId="35" borderId="19" xfId="0" applyNumberFormat="1" applyFont="1" applyFill="1" applyBorder="1" applyAlignment="1">
      <alignment horizontal="right" vertical="center" wrapText="1" indent="1"/>
    </xf>
    <xf numFmtId="1" fontId="5" fillId="35" borderId="26" xfId="0" applyNumberFormat="1" applyFont="1" applyFill="1" applyBorder="1" applyAlignment="1">
      <alignment horizontal="right" vertical="center" wrapText="1" indent="1"/>
    </xf>
    <xf numFmtId="1" fontId="9" fillId="0" borderId="17" xfId="0" applyNumberFormat="1" applyFont="1" applyFill="1" applyBorder="1" applyAlignment="1">
      <alignment horizontal="right" vertical="center" wrapText="1" indent="1"/>
    </xf>
    <xf numFmtId="1" fontId="5" fillId="35" borderId="17" xfId="0" applyNumberFormat="1" applyFont="1" applyFill="1" applyBorder="1" applyAlignment="1">
      <alignment horizontal="right" vertical="center" wrapText="1" indent="1"/>
    </xf>
    <xf numFmtId="1" fontId="5" fillId="35" borderId="18" xfId="0" applyNumberFormat="1" applyFont="1" applyFill="1" applyBorder="1" applyAlignment="1">
      <alignment horizontal="right" vertical="center" wrapText="1" indent="1"/>
    </xf>
    <xf numFmtId="0" fontId="98" fillId="0" borderId="0" xfId="41"/>
    <xf numFmtId="0" fontId="99" fillId="0" borderId="13" xfId="41" applyFont="1" applyBorder="1" applyAlignment="1">
      <alignment horizontal="left" vertical="center" indent="1"/>
    </xf>
    <xf numFmtId="0" fontId="12" fillId="0" borderId="13" xfId="0" applyFont="1" applyFill="1" applyBorder="1" applyAlignment="1">
      <alignment horizontal="left" vertical="center" wrapText="1" indent="1"/>
    </xf>
    <xf numFmtId="0" fontId="10" fillId="32" borderId="15" xfId="0" applyFont="1" applyFill="1" applyBorder="1" applyAlignment="1">
      <alignment vertical="center" wrapText="1"/>
    </xf>
    <xf numFmtId="0" fontId="101" fillId="0" borderId="15" xfId="41" applyFont="1" applyBorder="1" applyAlignment="1">
      <alignment horizontal="center" vertical="center"/>
    </xf>
    <xf numFmtId="0" fontId="101" fillId="0" borderId="13" xfId="41" applyFont="1" applyBorder="1" applyAlignment="1">
      <alignment horizontal="left" vertical="center" wrapText="1" indent="1"/>
    </xf>
    <xf numFmtId="0" fontId="101" fillId="0" borderId="13" xfId="41" applyFont="1" applyBorder="1" applyAlignment="1">
      <alignment horizontal="left" vertical="center" indent="1"/>
    </xf>
    <xf numFmtId="0" fontId="101" fillId="0" borderId="17" xfId="41" applyFont="1" applyBorder="1" applyAlignment="1">
      <alignment horizontal="left" vertical="center" indent="1"/>
    </xf>
    <xf numFmtId="0" fontId="6" fillId="0" borderId="0" xfId="0" applyFont="1" applyBorder="1" applyAlignment="1">
      <alignment horizontal="center" vertical="center" wrapText="1"/>
    </xf>
    <xf numFmtId="0" fontId="9" fillId="0" borderId="0" xfId="0" applyFont="1" applyBorder="1" applyAlignment="1">
      <alignment horizontal="left" vertical="center" wrapText="1"/>
    </xf>
    <xf numFmtId="0" fontId="0" fillId="0" borderId="0" xfId="0" applyNumberFormat="1" applyAlignment="1">
      <alignment vertical="center" wrapText="1"/>
    </xf>
    <xf numFmtId="166" fontId="64" fillId="37" borderId="13" xfId="76" quotePrefix="1" applyNumberFormat="1" applyFont="1" applyFill="1" applyBorder="1" applyAlignment="1" applyProtection="1">
      <alignment horizontal="left" vertical="center" wrapText="1" indent="1"/>
      <protection locked="0"/>
    </xf>
    <xf numFmtId="166" fontId="63" fillId="37" borderId="13" xfId="84" quotePrefix="1" applyNumberFormat="1" applyFont="1" applyFill="1" applyBorder="1" applyAlignment="1" applyProtection="1">
      <alignment horizontal="left" vertical="center" wrapText="1" indent="1"/>
      <protection locked="0"/>
    </xf>
    <xf numFmtId="166" fontId="63" fillId="37" borderId="13" xfId="83" quotePrefix="1" applyNumberFormat="1" applyFont="1" applyFill="1" applyBorder="1" applyProtection="1">
      <alignment horizontal="left" vertical="center" indent="1"/>
      <protection locked="0"/>
    </xf>
    <xf numFmtId="0" fontId="10" fillId="0" borderId="13" xfId="0" applyFont="1" applyBorder="1"/>
    <xf numFmtId="166" fontId="64" fillId="37" borderId="13" xfId="51" quotePrefix="1" applyNumberFormat="1" applyFont="1" applyFill="1" applyBorder="1">
      <alignment horizontal="left" vertical="center" indent="1"/>
    </xf>
    <xf numFmtId="166" fontId="64" fillId="37" borderId="13" xfId="51" applyNumberFormat="1" applyFont="1" applyFill="1" applyBorder="1">
      <alignment horizontal="left" vertical="center" indent="1"/>
    </xf>
    <xf numFmtId="166" fontId="63" fillId="37" borderId="13" xfId="83" applyNumberFormat="1" applyFont="1" applyFill="1" applyBorder="1" applyAlignment="1" applyProtection="1">
      <alignment vertical="center"/>
      <protection locked="0"/>
    </xf>
    <xf numFmtId="166" fontId="64" fillId="37" borderId="13" xfId="83" quotePrefix="1" applyNumberFormat="1" applyFont="1" applyFill="1" applyBorder="1" applyProtection="1">
      <alignment horizontal="left" vertical="center" indent="1"/>
      <protection locked="0"/>
    </xf>
    <xf numFmtId="166" fontId="63" fillId="37" borderId="13" xfId="84" applyNumberFormat="1" applyFont="1" applyFill="1" applyBorder="1" applyAlignment="1" applyProtection="1">
      <alignment horizontal="left" vertical="center" wrapText="1" indent="1"/>
      <protection locked="0"/>
    </xf>
    <xf numFmtId="0" fontId="9" fillId="0" borderId="42" xfId="0" applyFont="1" applyFill="1" applyBorder="1" applyAlignment="1">
      <alignment horizontal="center" vertical="center" wrapText="1"/>
    </xf>
    <xf numFmtId="0" fontId="9" fillId="35" borderId="43" xfId="0" applyFont="1" applyFill="1" applyBorder="1" applyAlignment="1">
      <alignment horizontal="left" vertical="center" wrapText="1" indent="1"/>
    </xf>
    <xf numFmtId="0" fontId="10" fillId="0" borderId="43" xfId="0" applyFont="1" applyFill="1" applyBorder="1" applyAlignment="1">
      <alignment horizontal="left" vertical="center" wrapText="1" indent="1"/>
    </xf>
    <xf numFmtId="0" fontId="10" fillId="36" borderId="44" xfId="0" applyFont="1" applyFill="1" applyBorder="1" applyAlignment="1">
      <alignment horizontal="left" vertical="center" wrapText="1" indent="1"/>
    </xf>
    <xf numFmtId="0" fontId="10" fillId="0" borderId="45" xfId="0" applyFont="1" applyFill="1" applyBorder="1" applyAlignment="1">
      <alignment horizontal="left" vertical="center" wrapText="1" indent="1"/>
    </xf>
    <xf numFmtId="0" fontId="10" fillId="37" borderId="43" xfId="0" applyFont="1" applyFill="1" applyBorder="1" applyAlignment="1">
      <alignment horizontal="left" vertical="center" wrapText="1" indent="1"/>
    </xf>
    <xf numFmtId="0" fontId="10" fillId="0" borderId="44" xfId="0" applyFont="1" applyFill="1" applyBorder="1" applyAlignment="1">
      <alignment horizontal="left" vertical="center" wrapText="1" indent="1"/>
    </xf>
    <xf numFmtId="0" fontId="10" fillId="0" borderId="0" xfId="0" applyFont="1" applyBorder="1"/>
    <xf numFmtId="0" fontId="15" fillId="0" borderId="35" xfId="0" applyFont="1" applyBorder="1" applyAlignment="1">
      <alignment horizontal="center"/>
    </xf>
    <xf numFmtId="0" fontId="40" fillId="0" borderId="48" xfId="35" applyFont="1" applyBorder="1" applyAlignment="1" applyProtection="1">
      <alignment horizontal="center"/>
    </xf>
    <xf numFmtId="0" fontId="10" fillId="0" borderId="50" xfId="0" applyFont="1" applyBorder="1"/>
    <xf numFmtId="166" fontId="5" fillId="0" borderId="0" xfId="0" applyNumberFormat="1" applyFont="1" applyBorder="1"/>
    <xf numFmtId="166" fontId="5" fillId="0" borderId="0" xfId="0" applyNumberFormat="1" applyFont="1" applyBorder="1" applyAlignment="1">
      <alignment wrapText="1"/>
    </xf>
    <xf numFmtId="0" fontId="31" fillId="0" borderId="0" xfId="0" applyFont="1" applyBorder="1" applyAlignment="1">
      <alignment horizontal="left"/>
    </xf>
    <xf numFmtId="0" fontId="31" fillId="0" borderId="0" xfId="0" applyFont="1" applyBorder="1" applyAlignment="1">
      <alignment horizontal="left" vertical="center"/>
    </xf>
    <xf numFmtId="0" fontId="100" fillId="0" borderId="0" xfId="0" applyFont="1" applyFill="1" applyAlignment="1">
      <alignment vertical="center" wrapText="1"/>
    </xf>
    <xf numFmtId="0" fontId="21" fillId="0" borderId="0" xfId="0" applyFont="1" applyAlignment="1"/>
    <xf numFmtId="0" fontId="102" fillId="0" borderId="0" xfId="0" applyFont="1"/>
    <xf numFmtId="0" fontId="101" fillId="0" borderId="43" xfId="0" applyFont="1" applyFill="1" applyBorder="1" applyAlignment="1">
      <alignment horizontal="left" vertical="center" wrapText="1" indent="1"/>
    </xf>
    <xf numFmtId="0" fontId="72" fillId="0" borderId="0" xfId="0" applyFont="1" applyFill="1" applyAlignment="1">
      <alignment horizontal="left" vertical="center" indent="1"/>
    </xf>
    <xf numFmtId="0" fontId="10" fillId="0" borderId="13" xfId="41" applyFont="1" applyBorder="1" applyAlignment="1">
      <alignment horizontal="left" vertical="center" wrapText="1" indent="1"/>
    </xf>
    <xf numFmtId="3" fontId="10" fillId="0" borderId="0" xfId="45" applyNumberFormat="1" applyFont="1" applyBorder="1" applyAlignment="1">
      <alignment horizontal="center" vertical="center" wrapText="1"/>
    </xf>
    <xf numFmtId="4" fontId="5" fillId="35" borderId="17" xfId="0" applyNumberFormat="1" applyFont="1" applyFill="1" applyBorder="1" applyAlignment="1">
      <alignment horizontal="right" vertical="center" wrapText="1" indent="1"/>
    </xf>
    <xf numFmtId="4" fontId="9" fillId="24" borderId="17" xfId="45" applyNumberFormat="1" applyFont="1" applyFill="1" applyBorder="1" applyAlignment="1">
      <alignment horizontal="right" vertical="center" wrapText="1" indent="1"/>
    </xf>
    <xf numFmtId="4" fontId="9" fillId="24" borderId="18" xfId="45" applyNumberFormat="1" applyFont="1" applyFill="1" applyBorder="1" applyAlignment="1">
      <alignment horizontal="right" vertical="center" wrapText="1" indent="1"/>
    </xf>
    <xf numFmtId="0" fontId="73" fillId="0" borderId="14" xfId="0" applyFont="1" applyFill="1" applyBorder="1" applyAlignment="1">
      <alignment horizontal="center" vertical="center" wrapText="1"/>
    </xf>
    <xf numFmtId="49" fontId="9" fillId="0" borderId="13" xfId="43" applyNumberFormat="1" applyFont="1" applyBorder="1" applyAlignment="1">
      <alignment horizontal="left" vertical="center" wrapText="1" indent="1"/>
    </xf>
    <xf numFmtId="0" fontId="5" fillId="0" borderId="13" xfId="43" applyFont="1" applyBorder="1" applyAlignment="1">
      <alignment horizontal="left" vertical="top" wrapText="1" indent="1"/>
    </xf>
    <xf numFmtId="0" fontId="5" fillId="0" borderId="19" xfId="43" applyFont="1" applyBorder="1" applyAlignment="1">
      <alignment horizontal="left" vertical="top" wrapText="1" indent="1"/>
    </xf>
    <xf numFmtId="0" fontId="12" fillId="0" borderId="0" xfId="0" applyFont="1"/>
    <xf numFmtId="0" fontId="5" fillId="0" borderId="15" xfId="0" applyFont="1" applyFill="1" applyBorder="1" applyAlignment="1">
      <alignment horizontal="center" vertical="center"/>
    </xf>
    <xf numFmtId="0" fontId="26" fillId="0" borderId="43" xfId="0" applyFont="1" applyFill="1" applyBorder="1" applyAlignment="1">
      <alignment horizontal="left" vertical="center" wrapText="1" indent="1"/>
    </xf>
    <xf numFmtId="0" fontId="103" fillId="0" borderId="0" xfId="0" applyFont="1" applyAlignment="1">
      <alignment vertical="center"/>
    </xf>
    <xf numFmtId="0" fontId="100"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10" fillId="0" borderId="52" xfId="0" applyFont="1" applyBorder="1"/>
    <xf numFmtId="0" fontId="0" fillId="0" borderId="0" xfId="0" applyFill="1" applyAlignment="1">
      <alignment wrapText="1"/>
    </xf>
    <xf numFmtId="0" fontId="101" fillId="37" borderId="43" xfId="0" applyFont="1" applyFill="1" applyBorder="1" applyAlignment="1">
      <alignment horizontal="left" vertical="center" wrapText="1" indent="1"/>
    </xf>
    <xf numFmtId="49" fontId="101" fillId="37" borderId="43" xfId="0" applyNumberFormat="1" applyFont="1" applyFill="1" applyBorder="1" applyAlignment="1">
      <alignment horizontal="left" vertical="center" wrapText="1" indent="1"/>
    </xf>
    <xf numFmtId="0" fontId="5" fillId="0" borderId="0" xfId="0" applyFont="1" applyFill="1" applyBorder="1"/>
    <xf numFmtId="0" fontId="4" fillId="0" borderId="0" xfId="0" applyFont="1" applyFill="1" applyBorder="1" applyAlignment="1">
      <alignment horizontal="center" vertical="center"/>
    </xf>
    <xf numFmtId="49" fontId="4" fillId="0" borderId="13"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16" xfId="0" applyFont="1" applyFill="1" applyBorder="1" applyAlignment="1">
      <alignment horizontal="center" vertical="center" wrapText="1"/>
    </xf>
    <xf numFmtId="49" fontId="5" fillId="0" borderId="0" xfId="0" applyNumberFormat="1" applyFont="1" applyFill="1" applyBorder="1" applyAlignment="1">
      <alignment horizontal="left" indent="1"/>
    </xf>
    <xf numFmtId="0" fontId="26" fillId="0" borderId="0" xfId="0" applyFont="1" applyFill="1" applyBorder="1" applyAlignment="1">
      <alignment vertical="center"/>
    </xf>
    <xf numFmtId="0" fontId="33" fillId="0" borderId="0" xfId="40" applyFont="1" applyAlignment="1">
      <alignment horizontal="center" vertical="center" wrapText="1"/>
    </xf>
    <xf numFmtId="0" fontId="5" fillId="0" borderId="0" xfId="40" applyFont="1"/>
    <xf numFmtId="0" fontId="5" fillId="0" borderId="0" xfId="40" applyFont="1" applyAlignment="1">
      <alignment horizontal="center"/>
    </xf>
    <xf numFmtId="0" fontId="4" fillId="0" borderId="15" xfId="40" applyFont="1" applyBorder="1" applyAlignment="1">
      <alignment horizontal="center" vertical="center" wrapText="1"/>
    </xf>
    <xf numFmtId="49" fontId="4" fillId="0" borderId="13" xfId="40" applyNumberFormat="1" applyFont="1" applyBorder="1" applyAlignment="1">
      <alignment horizontal="center" vertical="center" wrapText="1"/>
    </xf>
    <xf numFmtId="0" fontId="4" fillId="0" borderId="13" xfId="40" applyFont="1" applyBorder="1" applyAlignment="1">
      <alignment horizontal="center" vertical="center" wrapText="1"/>
    </xf>
    <xf numFmtId="0" fontId="4" fillId="0" borderId="14" xfId="40" applyFont="1" applyBorder="1" applyAlignment="1">
      <alignment horizontal="center" vertical="center" wrapText="1"/>
    </xf>
    <xf numFmtId="0" fontId="5" fillId="0" borderId="15" xfId="40" applyFont="1" applyBorder="1" applyAlignment="1">
      <alignment horizontal="center" wrapText="1"/>
    </xf>
    <xf numFmtId="49" fontId="4" fillId="0" borderId="13" xfId="40" applyNumberFormat="1" applyFont="1" applyBorder="1" applyAlignment="1">
      <alignment vertical="top" wrapText="1"/>
    </xf>
    <xf numFmtId="3" fontId="5" fillId="0" borderId="13" xfId="40" applyNumberFormat="1" applyFont="1" applyFill="1" applyBorder="1" applyAlignment="1">
      <alignment horizontal="center" wrapText="1"/>
    </xf>
    <xf numFmtId="0" fontId="5" fillId="0" borderId="15" xfId="40" applyFont="1" applyBorder="1" applyAlignment="1">
      <alignment horizontal="center" vertical="center" wrapText="1"/>
    </xf>
    <xf numFmtId="49" fontId="4" fillId="0" borderId="13" xfId="40" applyNumberFormat="1" applyFont="1" applyBorder="1" applyAlignment="1">
      <alignment horizontal="left" vertical="center" wrapText="1" indent="1"/>
    </xf>
    <xf numFmtId="49" fontId="5" fillId="0" borderId="13" xfId="40" applyNumberFormat="1" applyFont="1" applyBorder="1" applyAlignment="1">
      <alignment horizontal="left" vertical="center" wrapText="1" indent="1"/>
    </xf>
    <xf numFmtId="0" fontId="5" fillId="0" borderId="0" xfId="40" applyFont="1" applyFill="1" applyAlignment="1">
      <alignment horizontal="center"/>
    </xf>
    <xf numFmtId="0" fontId="5" fillId="0" borderId="0" xfId="40" applyFont="1" applyFill="1"/>
    <xf numFmtId="49" fontId="10" fillId="36" borderId="13" xfId="40" applyNumberFormat="1" applyFont="1" applyFill="1" applyBorder="1" applyAlignment="1">
      <alignment horizontal="left" vertical="center" wrapText="1" indent="1"/>
    </xf>
    <xf numFmtId="49" fontId="4" fillId="0" borderId="17" xfId="40" applyNumberFormat="1" applyFont="1" applyBorder="1" applyAlignment="1">
      <alignment horizontal="left" vertical="center" wrapText="1" indent="1"/>
    </xf>
    <xf numFmtId="0" fontId="5" fillId="0" borderId="0" xfId="40" applyFont="1" applyFill="1" applyBorder="1" applyAlignment="1">
      <alignment horizontal="center" vertical="center" wrapText="1"/>
    </xf>
    <xf numFmtId="49" fontId="4" fillId="0" borderId="0" xfId="40" applyNumberFormat="1" applyFont="1" applyFill="1" applyBorder="1" applyAlignment="1">
      <alignment horizontal="left" vertical="top" wrapText="1" indent="1"/>
    </xf>
    <xf numFmtId="3" fontId="9" fillId="0" borderId="0" xfId="40" applyNumberFormat="1" applyFont="1" applyFill="1" applyBorder="1" applyAlignment="1">
      <alignment horizontal="right" vertical="center" wrapText="1" indent="1"/>
    </xf>
    <xf numFmtId="0" fontId="10" fillId="0" borderId="0" xfId="40" applyFont="1" applyAlignment="1">
      <alignment horizontal="center"/>
    </xf>
    <xf numFmtId="0" fontId="10" fillId="0" borderId="0" xfId="40" applyFont="1"/>
    <xf numFmtId="49" fontId="10" fillId="0" borderId="0" xfId="40" applyNumberFormat="1" applyFont="1"/>
    <xf numFmtId="49" fontId="5" fillId="0" borderId="0" xfId="40" applyNumberFormat="1" applyFont="1"/>
    <xf numFmtId="0" fontId="5" fillId="0" borderId="20" xfId="0" applyFont="1" applyFill="1" applyBorder="1" applyAlignment="1">
      <alignment horizontal="center" vertical="center" wrapText="1"/>
    </xf>
    <xf numFmtId="0" fontId="104" fillId="0" borderId="0" xfId="0" applyFont="1"/>
    <xf numFmtId="0" fontId="10" fillId="0" borderId="21" xfId="35" applyFont="1" applyBorder="1" applyAlignment="1" applyProtection="1">
      <alignment horizontal="left" vertical="center" indent="1"/>
    </xf>
    <xf numFmtId="0" fontId="99" fillId="35" borderId="43" xfId="0" applyFont="1" applyFill="1" applyBorder="1" applyAlignment="1">
      <alignment horizontal="left" vertical="center" wrapText="1" indent="1"/>
    </xf>
    <xf numFmtId="0" fontId="99" fillId="0" borderId="22" xfId="41" applyFont="1" applyBorder="1" applyAlignment="1">
      <alignment vertical="center"/>
    </xf>
    <xf numFmtId="0" fontId="99" fillId="0" borderId="29" xfId="41" applyFont="1" applyBorder="1" applyAlignment="1">
      <alignment vertical="center"/>
    </xf>
    <xf numFmtId="0" fontId="102" fillId="0" borderId="0" xfId="0" applyFont="1" applyBorder="1" applyAlignment="1">
      <alignment horizontal="left" vertical="center"/>
    </xf>
    <xf numFmtId="3" fontId="5" fillId="0" borderId="14" xfId="0" applyNumberFormat="1" applyFont="1" applyFill="1" applyBorder="1" applyAlignment="1">
      <alignment horizontal="center" vertical="center" wrapText="1"/>
    </xf>
    <xf numFmtId="0" fontId="5" fillId="0" borderId="15" xfId="43" applyFont="1" applyBorder="1" applyAlignment="1">
      <alignment horizontal="center" vertical="center" wrapText="1"/>
    </xf>
    <xf numFmtId="0" fontId="5" fillId="0" borderId="16" xfId="43" applyFont="1" applyBorder="1" applyAlignment="1">
      <alignment horizontal="center" vertical="center" wrapText="1"/>
    </xf>
    <xf numFmtId="3" fontId="5" fillId="0" borderId="38" xfId="40" applyNumberFormat="1" applyFont="1" applyFill="1" applyBorder="1" applyAlignment="1">
      <alignment horizontal="center" wrapText="1"/>
    </xf>
    <xf numFmtId="49" fontId="10" fillId="0" borderId="13" xfId="40" applyNumberFormat="1" applyFont="1" applyBorder="1" applyAlignment="1">
      <alignment horizontal="left" vertical="center" wrapText="1" indent="1"/>
    </xf>
    <xf numFmtId="49" fontId="5" fillId="0" borderId="13" xfId="40" applyNumberFormat="1" applyFont="1" applyFill="1" applyBorder="1" applyAlignment="1">
      <alignment horizontal="left" vertical="center" wrapText="1" indent="1"/>
    </xf>
    <xf numFmtId="0" fontId="101" fillId="0" borderId="16" xfId="41" applyFont="1" applyBorder="1" applyAlignment="1">
      <alignment horizontal="center" vertical="center"/>
    </xf>
    <xf numFmtId="0" fontId="5" fillId="0" borderId="15" xfId="0" applyFont="1" applyBorder="1" applyAlignment="1">
      <alignment horizontal="center" vertical="top"/>
    </xf>
    <xf numFmtId="0" fontId="5" fillId="0" borderId="0" xfId="0" applyFont="1" applyAlignment="1">
      <alignment horizontal="left" vertical="center"/>
    </xf>
    <xf numFmtId="0" fontId="10" fillId="0" borderId="20" xfId="0" applyFont="1" applyBorder="1" applyAlignment="1">
      <alignment horizontal="left" vertical="center" wrapText="1" indent="1"/>
    </xf>
    <xf numFmtId="0" fontId="10" fillId="37" borderId="20" xfId="0" applyFont="1" applyFill="1" applyBorder="1" applyAlignment="1">
      <alignment horizontal="left" vertical="center" wrapText="1" indent="1"/>
    </xf>
    <xf numFmtId="0" fontId="10" fillId="0" borderId="35" xfId="0" applyFont="1" applyBorder="1" applyAlignment="1">
      <alignment horizontal="left" vertical="center" wrapText="1" indent="1"/>
    </xf>
    <xf numFmtId="0" fontId="101" fillId="0" borderId="20" xfId="0" applyFont="1" applyBorder="1" applyAlignment="1">
      <alignment horizontal="left" vertical="center" wrapText="1" indent="1"/>
    </xf>
    <xf numFmtId="0" fontId="83" fillId="0" borderId="14" xfId="35" applyFont="1" applyBorder="1" applyAlignment="1" applyProtection="1">
      <alignment horizontal="left" vertical="center" indent="1"/>
    </xf>
    <xf numFmtId="0" fontId="100" fillId="0" borderId="14" xfId="35" applyFont="1" applyBorder="1" applyAlignment="1" applyProtection="1">
      <alignment horizontal="left" vertical="center" indent="1"/>
    </xf>
    <xf numFmtId="0" fontId="5" fillId="0" borderId="15" xfId="40" applyFont="1" applyFill="1" applyBorder="1" applyAlignment="1">
      <alignment horizontal="center" vertical="center" wrapText="1"/>
    </xf>
    <xf numFmtId="0" fontId="5" fillId="0" borderId="16" xfId="40" applyFont="1" applyFill="1" applyBorder="1" applyAlignment="1">
      <alignment horizontal="center" vertical="center" wrapText="1"/>
    </xf>
    <xf numFmtId="0" fontId="99" fillId="0" borderId="13" xfId="45" applyFont="1" applyBorder="1" applyAlignment="1">
      <alignment horizontal="center" vertical="center" wrapText="1"/>
    </xf>
    <xf numFmtId="0" fontId="5" fillId="0" borderId="0" xfId="0" applyFont="1" applyBorder="1" applyAlignment="1">
      <alignment vertical="center"/>
    </xf>
    <xf numFmtId="0" fontId="101" fillId="0" borderId="13" xfId="0" applyFont="1" applyFill="1" applyBorder="1" applyAlignment="1">
      <alignment horizontal="center" vertical="center" wrapText="1"/>
    </xf>
    <xf numFmtId="0" fontId="101" fillId="0" borderId="14" xfId="0" applyFont="1" applyFill="1" applyBorder="1" applyAlignment="1">
      <alignment horizontal="center" vertical="center" wrapText="1"/>
    </xf>
    <xf numFmtId="49" fontId="105" fillId="0" borderId="17" xfId="43" applyNumberFormat="1" applyFont="1" applyBorder="1" applyAlignment="1">
      <alignment horizontal="left" vertical="center" wrapText="1" indent="1"/>
    </xf>
    <xf numFmtId="49" fontId="10" fillId="0" borderId="13" xfId="43" applyNumberFormat="1" applyFont="1" applyBorder="1" applyAlignment="1">
      <alignment horizontal="left" vertical="center" wrapText="1" indent="1"/>
    </xf>
    <xf numFmtId="49" fontId="106" fillId="0" borderId="13" xfId="0" applyNumberFormat="1" applyFont="1" applyFill="1" applyBorder="1" applyAlignment="1">
      <alignment horizontal="left" vertical="top" wrapText="1" indent="1"/>
    </xf>
    <xf numFmtId="0" fontId="12" fillId="0" borderId="15" xfId="0" applyFont="1" applyBorder="1" applyAlignment="1">
      <alignment horizontal="center" vertical="center"/>
    </xf>
    <xf numFmtId="49" fontId="110" fillId="0" borderId="13" xfId="0" applyNumberFormat="1" applyFont="1" applyFill="1" applyBorder="1" applyAlignment="1">
      <alignment horizontal="left" vertical="top" wrapText="1" indent="1"/>
    </xf>
    <xf numFmtId="49" fontId="105" fillId="0" borderId="13" xfId="0" applyNumberFormat="1" applyFont="1" applyFill="1" applyBorder="1" applyAlignment="1">
      <alignment horizontal="left" vertical="top" wrapText="1" indent="1"/>
    </xf>
    <xf numFmtId="49" fontId="106" fillId="0" borderId="13" xfId="0" applyNumberFormat="1" applyFont="1" applyFill="1" applyBorder="1" applyAlignment="1">
      <alignment horizontal="left" wrapText="1" indent="1"/>
    </xf>
    <xf numFmtId="49" fontId="105" fillId="0" borderId="13" xfId="0" applyNumberFormat="1" applyFont="1" applyFill="1" applyBorder="1" applyAlignment="1">
      <alignment horizontal="left" vertical="top" wrapText="1"/>
    </xf>
    <xf numFmtId="49" fontId="106" fillId="0" borderId="13" xfId="0" applyNumberFormat="1" applyFont="1" applyFill="1" applyBorder="1" applyAlignment="1">
      <alignment horizontal="left" vertical="center" wrapText="1" indent="1"/>
    </xf>
    <xf numFmtId="49" fontId="106" fillId="0" borderId="13" xfId="0" applyNumberFormat="1" applyFont="1" applyFill="1" applyBorder="1" applyAlignment="1">
      <alignment horizontal="left" vertical="center" wrapText="1"/>
    </xf>
    <xf numFmtId="49" fontId="106" fillId="36" borderId="13" xfId="0" applyNumberFormat="1" applyFont="1" applyFill="1" applyBorder="1" applyAlignment="1">
      <alignment horizontal="left" vertical="top" wrapText="1" indent="1"/>
    </xf>
    <xf numFmtId="49" fontId="101" fillId="0" borderId="13" xfId="0" applyNumberFormat="1" applyFont="1" applyFill="1" applyBorder="1" applyAlignment="1">
      <alignment horizontal="left" vertical="center" wrapText="1" indent="1"/>
    </xf>
    <xf numFmtId="0" fontId="100" fillId="0" borderId="15" xfId="35" applyFont="1" applyBorder="1" applyAlignment="1" applyProtection="1">
      <alignment horizontal="left" vertical="center" indent="1"/>
    </xf>
    <xf numFmtId="0" fontId="101" fillId="0" borderId="13" xfId="0" applyFont="1" applyFill="1" applyBorder="1" applyAlignment="1">
      <alignment vertical="center" wrapText="1"/>
    </xf>
    <xf numFmtId="0" fontId="101" fillId="0" borderId="15" xfId="0" applyFont="1" applyFill="1" applyBorder="1" applyAlignment="1">
      <alignment horizontal="right" vertical="center" wrapText="1" indent="1"/>
    </xf>
    <xf numFmtId="0" fontId="101" fillId="0" borderId="16" xfId="0" applyFont="1" applyFill="1" applyBorder="1" applyAlignment="1">
      <alignment horizontal="right" vertical="center" wrapText="1" indent="1"/>
    </xf>
    <xf numFmtId="0" fontId="101" fillId="0" borderId="22" xfId="0" applyFont="1" applyFill="1" applyBorder="1" applyAlignment="1">
      <alignment horizontal="right" vertical="center" wrapText="1" indent="1"/>
    </xf>
    <xf numFmtId="0" fontId="99" fillId="0" borderId="30" xfId="0" applyFont="1" applyBorder="1" applyAlignment="1">
      <alignment horizontal="center" vertical="center"/>
    </xf>
    <xf numFmtId="0" fontId="99" fillId="0" borderId="31" xfId="0" applyFont="1" applyBorder="1" applyAlignment="1">
      <alignment horizontal="center" vertical="center"/>
    </xf>
    <xf numFmtId="0" fontId="99" fillId="0" borderId="36" xfId="0" applyFont="1" applyBorder="1" applyAlignment="1">
      <alignment horizontal="center" vertical="center"/>
    </xf>
    <xf numFmtId="14" fontId="101" fillId="0" borderId="34" xfId="0" applyNumberFormat="1" applyFont="1" applyFill="1" applyBorder="1" applyAlignment="1">
      <alignment horizontal="center" vertical="center" wrapText="1"/>
    </xf>
    <xf numFmtId="14" fontId="101" fillId="0" borderId="14" xfId="0" applyNumberFormat="1" applyFont="1" applyFill="1" applyBorder="1" applyAlignment="1">
      <alignment horizontal="center" vertical="center" wrapText="1"/>
    </xf>
    <xf numFmtId="14" fontId="101" fillId="0" borderId="18"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Border="1" applyAlignment="1">
      <alignment horizontal="center" vertical="center" wrapText="1"/>
    </xf>
    <xf numFmtId="49" fontId="105" fillId="0" borderId="13" xfId="0" applyNumberFormat="1" applyFont="1" applyFill="1" applyBorder="1" applyAlignment="1">
      <alignment horizontal="left" vertical="center" wrapText="1" indent="1"/>
    </xf>
    <xf numFmtId="49" fontId="102" fillId="0" borderId="13" xfId="0" applyNumberFormat="1"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49" fontId="105" fillId="0" borderId="13" xfId="0" applyNumberFormat="1" applyFont="1" applyFill="1" applyBorder="1" applyAlignment="1">
      <alignment horizontal="left" vertical="center" indent="1"/>
    </xf>
    <xf numFmtId="49" fontId="105" fillId="37" borderId="13" xfId="0" applyNumberFormat="1" applyFont="1" applyFill="1" applyBorder="1" applyAlignment="1">
      <alignment horizontal="left" vertical="center" indent="1"/>
    </xf>
    <xf numFmtId="49" fontId="5" fillId="0" borderId="19" xfId="0" applyNumberFormat="1" applyFont="1" applyFill="1" applyBorder="1" applyAlignment="1">
      <alignment horizontal="left" vertical="center" wrapText="1" indent="1"/>
    </xf>
    <xf numFmtId="0" fontId="21" fillId="0" borderId="0" xfId="0" applyFont="1"/>
    <xf numFmtId="49" fontId="100" fillId="0" borderId="0" xfId="0" applyNumberFormat="1" applyFont="1" applyAlignment="1">
      <alignment horizontal="left" vertical="center"/>
    </xf>
    <xf numFmtId="0" fontId="101" fillId="43" borderId="13" xfId="0" applyFont="1" applyFill="1" applyBorder="1" applyAlignment="1">
      <alignment vertical="center" wrapText="1"/>
    </xf>
    <xf numFmtId="0" fontId="101" fillId="44" borderId="13" xfId="0" applyFont="1" applyFill="1" applyBorder="1" applyAlignment="1">
      <alignment vertical="center" wrapText="1"/>
    </xf>
    <xf numFmtId="0" fontId="101" fillId="45" borderId="29" xfId="0" applyFont="1" applyFill="1" applyBorder="1" applyAlignment="1">
      <alignment vertical="center" wrapText="1"/>
    </xf>
    <xf numFmtId="0" fontId="9" fillId="0" borderId="43" xfId="0" applyFont="1" applyFill="1" applyBorder="1" applyAlignment="1">
      <alignment horizontal="left" vertical="center" wrapText="1" indent="1"/>
    </xf>
    <xf numFmtId="0" fontId="100" fillId="0" borderId="0" xfId="0" applyFont="1"/>
    <xf numFmtId="3" fontId="102" fillId="0" borderId="0" xfId="0" applyNumberFormat="1" applyFont="1"/>
    <xf numFmtId="49" fontId="10" fillId="0" borderId="0" xfId="0" applyNumberFormat="1" applyFont="1" applyAlignment="1">
      <alignment horizontal="left" vertical="center"/>
    </xf>
    <xf numFmtId="49" fontId="4" fillId="0" borderId="13" xfId="0" applyNumberFormat="1" applyFont="1" applyBorder="1" applyAlignment="1">
      <alignment horizontal="left" vertical="center" wrapText="1" indent="1"/>
    </xf>
    <xf numFmtId="0" fontId="5" fillId="0" borderId="0" xfId="0" applyFont="1" applyAlignment="1">
      <alignment vertical="top" wrapText="1"/>
    </xf>
    <xf numFmtId="49" fontId="5" fillId="0" borderId="13" xfId="0" applyNumberFormat="1" applyFont="1" applyFill="1" applyBorder="1" applyAlignment="1">
      <alignment horizontal="left" vertical="top" wrapText="1" indent="1"/>
    </xf>
    <xf numFmtId="49" fontId="4" fillId="0" borderId="13" xfId="0" applyNumberFormat="1" applyFont="1" applyFill="1" applyBorder="1" applyAlignment="1">
      <alignment horizontal="left" vertical="top" wrapText="1" indent="1"/>
    </xf>
    <xf numFmtId="49" fontId="4" fillId="0" borderId="17" xfId="0" applyNumberFormat="1" applyFont="1" applyFill="1" applyBorder="1" applyAlignment="1">
      <alignment horizontal="left" vertical="top" wrapText="1" indent="1"/>
    </xf>
    <xf numFmtId="0" fontId="101" fillId="0" borderId="15" xfId="35" applyFont="1" applyBorder="1" applyAlignment="1" applyProtection="1">
      <alignment horizontal="left" vertical="center" indent="1"/>
    </xf>
    <xf numFmtId="0" fontId="101" fillId="0" borderId="52" xfId="0" applyFont="1" applyBorder="1"/>
    <xf numFmtId="0" fontId="10" fillId="0" borderId="15" xfId="35" applyFont="1" applyBorder="1" applyAlignment="1" applyProtection="1">
      <alignment horizontal="left" vertical="center" indent="1"/>
    </xf>
    <xf numFmtId="0" fontId="99" fillId="0" borderId="43" xfId="0" applyFont="1" applyFill="1" applyBorder="1" applyAlignment="1">
      <alignment horizontal="left" vertical="center" wrapText="1" indent="1"/>
    </xf>
    <xf numFmtId="0" fontId="100" fillId="0" borderId="24" xfId="0" applyFont="1" applyBorder="1" applyAlignment="1">
      <alignment horizontal="left" vertical="center" wrapText="1" inden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12" fillId="0" borderId="0" xfId="0" applyFont="1" applyBorder="1"/>
    <xf numFmtId="49" fontId="120" fillId="0" borderId="29" xfId="0" applyNumberFormat="1" applyFont="1" applyBorder="1" applyAlignment="1">
      <alignment horizontal="left" indent="1"/>
    </xf>
    <xf numFmtId="166" fontId="120" fillId="0" borderId="29" xfId="0" applyNumberFormat="1" applyFont="1" applyBorder="1" applyAlignment="1">
      <alignment horizontal="center"/>
    </xf>
    <xf numFmtId="4" fontId="120" fillId="35" borderId="29" xfId="0" applyNumberFormat="1" applyFont="1" applyFill="1" applyBorder="1" applyAlignment="1">
      <alignment horizontal="right" vertical="center" wrapText="1" indent="1"/>
    </xf>
    <xf numFmtId="0" fontId="9" fillId="0" borderId="78" xfId="0" applyFont="1" applyBorder="1" applyAlignment="1">
      <alignment horizontal="left" vertical="center" wrapText="1" indent="1"/>
    </xf>
    <xf numFmtId="49" fontId="4" fillId="0" borderId="13" xfId="0" applyNumberFormat="1" applyFont="1" applyFill="1" applyBorder="1" applyAlignment="1">
      <alignment vertical="center" wrapText="1"/>
    </xf>
    <xf numFmtId="49" fontId="107" fillId="0" borderId="13"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0" fillId="0" borderId="13" xfId="0" applyNumberFormat="1" applyFont="1" applyFill="1" applyBorder="1" applyAlignment="1">
      <alignment vertical="center" wrapText="1"/>
    </xf>
    <xf numFmtId="49" fontId="9" fillId="0" borderId="17" xfId="0" applyNumberFormat="1" applyFont="1" applyFill="1" applyBorder="1" applyAlignment="1">
      <alignment vertical="center" wrapText="1"/>
    </xf>
    <xf numFmtId="0" fontId="99" fillId="0" borderId="13" xfId="41" applyFont="1" applyBorder="1" applyAlignment="1">
      <alignment horizontal="center" vertical="center" wrapText="1"/>
    </xf>
    <xf numFmtId="0" fontId="69" fillId="0" borderId="35" xfId="41" applyFont="1" applyBorder="1"/>
    <xf numFmtId="0" fontId="98" fillId="0" borderId="46" xfId="41" applyBorder="1"/>
    <xf numFmtId="0" fontId="98" fillId="0" borderId="47" xfId="41" applyBorder="1"/>
    <xf numFmtId="0" fontId="98" fillId="0" borderId="37" xfId="41" applyBorder="1" applyAlignment="1">
      <alignment horizontal="left"/>
    </xf>
    <xf numFmtId="0" fontId="98" fillId="0" borderId="50" xfId="41" applyBorder="1"/>
    <xf numFmtId="0" fontId="98" fillId="0" borderId="32" xfId="41" applyBorder="1"/>
    <xf numFmtId="0" fontId="99" fillId="47" borderId="20" xfId="41"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74" xfId="0" applyFont="1" applyFill="1" applyBorder="1" applyAlignment="1">
      <alignment horizontal="left" vertical="center" wrapText="1" indent="1"/>
    </xf>
    <xf numFmtId="0" fontId="9" fillId="0" borderId="74" xfId="0" applyFont="1" applyFill="1" applyBorder="1" applyAlignment="1">
      <alignment horizontal="center" vertical="center" wrapText="1"/>
    </xf>
    <xf numFmtId="0" fontId="5" fillId="0" borderId="74" xfId="0" applyFont="1" applyFill="1" applyBorder="1" applyAlignment="1">
      <alignment horizontal="right" vertical="center" wrapText="1" indent="1"/>
    </xf>
    <xf numFmtId="0" fontId="9" fillId="0" borderId="60" xfId="0" applyFont="1" applyFill="1" applyBorder="1" applyAlignment="1">
      <alignment horizontal="center" vertical="center" wrapText="1"/>
    </xf>
    <xf numFmtId="0" fontId="10" fillId="0" borderId="20" xfId="0" applyFont="1" applyFill="1" applyBorder="1" applyAlignment="1">
      <alignment horizontal="left" vertical="center" wrapText="1" indent="1"/>
    </xf>
    <xf numFmtId="0" fontId="101" fillId="0" borderId="20" xfId="0" applyFont="1" applyFill="1" applyBorder="1" applyAlignment="1">
      <alignment horizontal="left" vertical="center" wrapText="1" indent="1"/>
    </xf>
    <xf numFmtId="0" fontId="100" fillId="0" borderId="20" xfId="0" applyFont="1" applyFill="1" applyBorder="1" applyAlignment="1">
      <alignment horizontal="left" vertical="center" wrapText="1" indent="1"/>
    </xf>
    <xf numFmtId="0" fontId="10" fillId="0" borderId="43" xfId="0" applyNumberFormat="1" applyFont="1" applyFill="1" applyBorder="1" applyAlignment="1">
      <alignment horizontal="left" vertical="center" wrapText="1" indent="1"/>
    </xf>
    <xf numFmtId="0" fontId="123" fillId="0" borderId="7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2" xfId="0" applyFont="1" applyBorder="1" applyAlignment="1">
      <alignment horizontal="center" vertical="center" wrapText="1"/>
    </xf>
    <xf numFmtId="166" fontId="5" fillId="38" borderId="0" xfId="0" applyNumberFormat="1" applyFont="1" applyFill="1" applyAlignment="1">
      <alignment horizontal="right" vertical="center" indent="1"/>
    </xf>
    <xf numFmtId="4" fontId="5" fillId="0" borderId="0" xfId="0" applyNumberFormat="1" applyFont="1" applyFill="1" applyAlignment="1">
      <alignment horizontal="right" vertical="center" indent="1"/>
    </xf>
    <xf numFmtId="166" fontId="5" fillId="38" borderId="0" xfId="0" applyNumberFormat="1" applyFont="1" applyFill="1"/>
    <xf numFmtId="166" fontId="5" fillId="0" borderId="0" xfId="0" applyNumberFormat="1" applyFont="1"/>
    <xf numFmtId="49" fontId="112" fillId="0" borderId="13" xfId="0" applyNumberFormat="1" applyFont="1" applyBorder="1" applyAlignment="1">
      <alignment horizontal="left" vertical="center" wrapText="1" indent="1"/>
    </xf>
    <xf numFmtId="49" fontId="102" fillId="0" borderId="13" xfId="0" applyNumberFormat="1" applyFont="1" applyBorder="1" applyAlignment="1">
      <alignment horizontal="left" vertical="center" wrapText="1" indent="1"/>
    </xf>
    <xf numFmtId="49" fontId="102" fillId="0" borderId="0" xfId="0" applyNumberFormat="1" applyFont="1" applyBorder="1" applyAlignment="1">
      <alignment horizontal="left" vertical="center" wrapText="1" indent="1"/>
    </xf>
    <xf numFmtId="49" fontId="102" fillId="0" borderId="13" xfId="0" applyNumberFormat="1" applyFont="1" applyFill="1" applyBorder="1" applyAlignment="1">
      <alignment horizontal="left" vertical="top" wrapText="1" indent="1"/>
    </xf>
    <xf numFmtId="0" fontId="126" fillId="0" borderId="0" xfId="0" applyFont="1" applyFill="1" applyAlignment="1">
      <alignment horizontal="left" vertical="center" wrapText="1" indent="3"/>
    </xf>
    <xf numFmtId="0" fontId="3" fillId="0" borderId="0" xfId="0" applyFont="1"/>
    <xf numFmtId="0" fontId="100" fillId="0" borderId="20" xfId="0" applyFont="1" applyBorder="1" applyAlignment="1">
      <alignment horizontal="left" vertical="center" wrapText="1" indent="1"/>
    </xf>
    <xf numFmtId="0" fontId="10" fillId="37" borderId="15" xfId="35" applyFont="1" applyFill="1" applyBorder="1" applyAlignment="1" applyProtection="1">
      <alignment horizontal="left" vertical="center" indent="1"/>
    </xf>
    <xf numFmtId="0" fontId="78" fillId="0" borderId="0" xfId="0" applyFont="1"/>
    <xf numFmtId="49" fontId="111" fillId="48" borderId="13" xfId="0" applyNumberFormat="1" applyFont="1" applyFill="1" applyBorder="1" applyAlignment="1">
      <alignment horizontal="left" vertical="center" wrapText="1" indent="1"/>
    </xf>
    <xf numFmtId="49" fontId="100" fillId="48" borderId="13" xfId="0" applyNumberFormat="1" applyFont="1" applyFill="1" applyBorder="1" applyAlignment="1">
      <alignment horizontal="left" vertical="center" wrapText="1" indent="1"/>
    </xf>
    <xf numFmtId="49" fontId="100" fillId="0" borderId="13" xfId="0" applyNumberFormat="1" applyFont="1" applyFill="1" applyBorder="1" applyAlignment="1">
      <alignment horizontal="left" vertical="center" wrapText="1" indent="1"/>
    </xf>
    <xf numFmtId="49" fontId="99" fillId="0" borderId="13" xfId="0" applyNumberFormat="1" applyFont="1" applyFill="1" applyBorder="1" applyAlignment="1">
      <alignment horizontal="left" vertical="center" wrapText="1" inden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0" fillId="32" borderId="21" xfId="0" applyFont="1" applyFill="1" applyBorder="1" applyAlignment="1">
      <alignment vertical="center" wrapText="1"/>
    </xf>
    <xf numFmtId="0" fontId="10" fillId="0" borderId="35" xfId="0" applyFont="1" applyFill="1" applyBorder="1" applyAlignment="1">
      <alignment horizontal="left" vertical="center" wrapText="1" indent="1"/>
    </xf>
    <xf numFmtId="0" fontId="10" fillId="0" borderId="57" xfId="0" applyNumberFormat="1" applyFont="1" applyFill="1" applyBorder="1" applyAlignment="1">
      <alignment horizontal="left" vertical="center" wrapText="1" indent="1"/>
    </xf>
    <xf numFmtId="0" fontId="100" fillId="0" borderId="13" xfId="0" applyFont="1" applyFill="1" applyBorder="1" applyAlignment="1">
      <alignment vertical="center" wrapText="1"/>
    </xf>
    <xf numFmtId="0" fontId="100" fillId="0" borderId="13" xfId="0" applyFont="1" applyFill="1" applyBorder="1" applyAlignment="1">
      <alignment horizontal="left" vertical="center" wrapText="1" indent="1"/>
    </xf>
    <xf numFmtId="0" fontId="100" fillId="0" borderId="14" xfId="35" applyFont="1" applyBorder="1" applyAlignment="1" applyProtection="1">
      <alignment horizontal="left" vertical="center" wrapText="1" indent="1"/>
    </xf>
    <xf numFmtId="0" fontId="130" fillId="0" borderId="0" xfId="0" applyFont="1"/>
    <xf numFmtId="0" fontId="102" fillId="0" borderId="0" xfId="0" applyFont="1" applyFill="1"/>
    <xf numFmtId="0" fontId="100" fillId="0" borderId="0" xfId="0" applyFont="1" applyFill="1"/>
    <xf numFmtId="49" fontId="106" fillId="0" borderId="13" xfId="0" applyNumberFormat="1" applyFont="1" applyFill="1" applyBorder="1" applyAlignment="1" applyProtection="1">
      <alignment horizontal="left" vertical="top" wrapText="1" indent="1"/>
      <protection locked="0"/>
    </xf>
    <xf numFmtId="3" fontId="26" fillId="0" borderId="0" xfId="45" applyNumberFormat="1" applyFont="1" applyBorder="1" applyAlignment="1">
      <alignment vertical="center"/>
    </xf>
    <xf numFmtId="49" fontId="98" fillId="0" borderId="0" xfId="41" applyNumberFormat="1"/>
    <xf numFmtId="0" fontId="130" fillId="49" borderId="15" xfId="0" applyFont="1" applyFill="1" applyBorder="1" applyAlignment="1">
      <alignment horizontal="center" vertical="center"/>
    </xf>
    <xf numFmtId="49" fontId="132" fillId="50" borderId="13" xfId="0" applyNumberFormat="1" applyFont="1" applyFill="1" applyBorder="1" applyAlignment="1">
      <alignment horizontal="left" vertical="center" wrapText="1" indent="1"/>
    </xf>
    <xf numFmtId="0" fontId="131" fillId="0" borderId="0" xfId="0" applyFont="1" applyFill="1" applyAlignment="1">
      <alignment vertical="center" wrapText="1"/>
    </xf>
    <xf numFmtId="0" fontId="71" fillId="0" borderId="52" xfId="0" applyFont="1" applyBorder="1"/>
    <xf numFmtId="0" fontId="15" fillId="0" borderId="46" xfId="0" applyFont="1" applyFill="1" applyBorder="1" applyAlignment="1">
      <alignment vertical="center"/>
    </xf>
    <xf numFmtId="0" fontId="10" fillId="0" borderId="46" xfId="0" applyFont="1" applyFill="1" applyBorder="1" applyAlignment="1">
      <alignment vertical="center"/>
    </xf>
    <xf numFmtId="0" fontId="10" fillId="0" borderId="46" xfId="0" applyFont="1" applyBorder="1"/>
    <xf numFmtId="0" fontId="10" fillId="0" borderId="47" xfId="0" applyFont="1" applyBorder="1"/>
    <xf numFmtId="0" fontId="10" fillId="0" borderId="49" xfId="0" applyFont="1" applyBorder="1"/>
    <xf numFmtId="0" fontId="10" fillId="0" borderId="32" xfId="0" applyFont="1" applyBorder="1"/>
    <xf numFmtId="0" fontId="10" fillId="0" borderId="27" xfId="0" applyFont="1" applyBorder="1"/>
    <xf numFmtId="0" fontId="71" fillId="0" borderId="27" xfId="0" applyFont="1" applyBorder="1"/>
    <xf numFmtId="0" fontId="131" fillId="0" borderId="0" xfId="0" applyFont="1" applyAlignment="1">
      <alignment horizontal="center"/>
    </xf>
    <xf numFmtId="0" fontId="10" fillId="0" borderId="0" xfId="0" applyFont="1" applyAlignment="1">
      <alignment horizontal="center"/>
    </xf>
    <xf numFmtId="0" fontId="84" fillId="0" borderId="46" xfId="0" applyFont="1" applyFill="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4" fontId="9" fillId="24" borderId="17" xfId="0" applyNumberFormat="1" applyFont="1" applyFill="1" applyBorder="1" applyAlignment="1">
      <alignment horizontal="right" vertical="center" wrapText="1" indent="1"/>
    </xf>
    <xf numFmtId="0" fontId="10" fillId="0" borderId="12" xfId="0" applyFont="1" applyFill="1" applyBorder="1" applyAlignment="1">
      <alignment vertical="center" wrapText="1"/>
    </xf>
    <xf numFmtId="0" fontId="10" fillId="0" borderId="0" xfId="0" applyFont="1" applyFill="1" applyAlignment="1">
      <alignment vertical="center" wrapText="1"/>
    </xf>
    <xf numFmtId="0" fontId="11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04" fillId="0" borderId="0" xfId="0" applyFont="1" applyAlignment="1">
      <alignment horizontal="left"/>
    </xf>
    <xf numFmtId="0" fontId="0" fillId="0" borderId="0" xfId="0" applyFill="1" applyAlignment="1">
      <alignment horizontal="left"/>
    </xf>
    <xf numFmtId="0" fontId="3" fillId="0" borderId="0" xfId="0" applyFont="1" applyAlignment="1">
      <alignment horizontal="left"/>
    </xf>
    <xf numFmtId="0" fontId="37" fillId="0" borderId="0" xfId="0" applyFont="1" applyAlignment="1">
      <alignment horizontal="left"/>
    </xf>
    <xf numFmtId="0" fontId="21" fillId="0" borderId="0" xfId="0" applyFont="1" applyAlignment="1">
      <alignment horizontal="left" vertical="center"/>
    </xf>
    <xf numFmtId="0" fontId="10" fillId="0" borderId="0" xfId="0" applyFont="1" applyFill="1" applyAlignment="1">
      <alignment horizontal="left" vertical="center" wrapText="1"/>
    </xf>
    <xf numFmtId="0" fontId="124" fillId="0" borderId="0" xfId="0" applyFont="1" applyAlignment="1">
      <alignment horizontal="left"/>
    </xf>
    <xf numFmtId="49" fontId="60" fillId="0" borderId="17" xfId="0" applyNumberFormat="1" applyFont="1" applyFill="1" applyBorder="1" applyAlignment="1">
      <alignment horizontal="left" vertical="center" wrapText="1" indent="1"/>
    </xf>
    <xf numFmtId="0" fontId="31" fillId="0" borderId="12" xfId="0" applyFont="1" applyFill="1" applyBorder="1" applyAlignment="1">
      <alignment vertical="center"/>
    </xf>
    <xf numFmtId="0" fontId="31" fillId="0" borderId="0" xfId="0" applyFont="1" applyFill="1" applyAlignment="1">
      <alignment vertical="center"/>
    </xf>
    <xf numFmtId="0" fontId="104" fillId="0" borderId="0" xfId="0" applyFont="1" applyFill="1" applyAlignment="1">
      <alignment horizontal="left"/>
    </xf>
    <xf numFmtId="0" fontId="10" fillId="49" borderId="0" xfId="0" applyFont="1" applyFill="1" applyBorder="1" applyAlignment="1"/>
    <xf numFmtId="0" fontId="135" fillId="0" borderId="0" xfId="0" applyFont="1" applyAlignment="1">
      <alignment horizontal="left" wrapText="1"/>
    </xf>
    <xf numFmtId="49" fontId="10" fillId="50" borderId="13" xfId="0" applyNumberFormat="1" applyFont="1" applyFill="1" applyBorder="1" applyAlignment="1">
      <alignment horizontal="left" vertical="center" wrapText="1" indent="1"/>
    </xf>
    <xf numFmtId="0" fontId="100" fillId="51" borderId="15" xfId="35" applyFont="1" applyFill="1" applyBorder="1" applyAlignment="1" applyProtection="1">
      <alignment horizontal="left" vertical="center" indent="1"/>
    </xf>
    <xf numFmtId="0" fontId="100" fillId="51" borderId="20" xfId="0" applyFont="1" applyFill="1" applyBorder="1" applyAlignment="1">
      <alignment horizontal="left" vertical="center" wrapText="1" indent="1"/>
    </xf>
    <xf numFmtId="0" fontId="100" fillId="51" borderId="14" xfId="35" applyFont="1" applyFill="1" applyBorder="1" applyAlignment="1" applyProtection="1">
      <alignment horizontal="left" vertical="center" indent="1"/>
    </xf>
    <xf numFmtId="0" fontId="9" fillId="51" borderId="43" xfId="0" applyFont="1" applyFill="1" applyBorder="1" applyAlignment="1">
      <alignment horizontal="left" vertical="center" wrapText="1" indent="1"/>
    </xf>
    <xf numFmtId="0" fontId="10" fillId="51" borderId="15" xfId="0" applyFont="1" applyFill="1" applyBorder="1" applyAlignment="1">
      <alignment vertical="center" wrapText="1"/>
    </xf>
    <xf numFmtId="0" fontId="10" fillId="51" borderId="20" xfId="0" applyFont="1" applyFill="1" applyBorder="1" applyAlignment="1">
      <alignment horizontal="left" vertical="center" wrapText="1" indent="1"/>
    </xf>
    <xf numFmtId="0" fontId="10" fillId="51" borderId="43" xfId="0" applyFont="1" applyFill="1" applyBorder="1" applyAlignment="1">
      <alignment horizontal="left" vertical="center" wrapText="1" indent="1"/>
    </xf>
    <xf numFmtId="0" fontId="100" fillId="51" borderId="15" xfId="0" applyFont="1" applyFill="1" applyBorder="1" applyAlignment="1">
      <alignment vertical="center" wrapText="1"/>
    </xf>
    <xf numFmtId="0" fontId="100" fillId="51" borderId="43" xfId="0" applyFont="1" applyFill="1" applyBorder="1" applyAlignment="1">
      <alignment horizontal="left" vertical="center" wrapText="1" indent="1"/>
    </xf>
    <xf numFmtId="3" fontId="5" fillId="0" borderId="0" xfId="0" applyNumberFormat="1" applyFont="1" applyAlignment="1">
      <alignment vertical="center"/>
    </xf>
    <xf numFmtId="0" fontId="111" fillId="42" borderId="0" xfId="0" applyFont="1" applyFill="1"/>
    <xf numFmtId="0" fontId="100" fillId="0" borderId="0" xfId="0" applyFont="1" applyFill="1" applyAlignment="1">
      <alignment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4" fontId="5" fillId="0" borderId="0" xfId="0" applyNumberFormat="1" applyFont="1"/>
    <xf numFmtId="4" fontId="5" fillId="0" borderId="13" xfId="0" applyNumberFormat="1" applyFont="1" applyBorder="1"/>
    <xf numFmtId="4" fontId="99" fillId="0" borderId="29" xfId="41" applyNumberFormat="1" applyFont="1" applyBorder="1" applyAlignment="1">
      <alignment horizontal="center" vertical="center"/>
    </xf>
    <xf numFmtId="4" fontId="99" fillId="0" borderId="37" xfId="41" applyNumberFormat="1" applyFont="1" applyBorder="1" applyAlignment="1">
      <alignment horizontal="center" vertical="center"/>
    </xf>
    <xf numFmtId="4" fontId="99" fillId="0" borderId="34" xfId="41" applyNumberFormat="1" applyFont="1" applyBorder="1" applyAlignment="1">
      <alignment horizontal="center" vertical="center"/>
    </xf>
    <xf numFmtId="4" fontId="9" fillId="24" borderId="13" xfId="0" applyNumberFormat="1" applyFont="1" applyFill="1" applyBorder="1" applyAlignment="1">
      <alignment horizontal="right" vertical="center" wrapText="1" indent="1"/>
    </xf>
    <xf numFmtId="4" fontId="111" fillId="24" borderId="13" xfId="0" applyNumberFormat="1" applyFont="1" applyFill="1" applyBorder="1" applyAlignment="1">
      <alignment horizontal="right" vertical="center" wrapText="1" indent="1"/>
    </xf>
    <xf numFmtId="4" fontId="9" fillId="24" borderId="14" xfId="0" applyNumberFormat="1" applyFont="1" applyFill="1" applyBorder="1" applyAlignment="1">
      <alignment horizontal="right" vertical="center" wrapText="1" indent="1"/>
    </xf>
    <xf numFmtId="4" fontId="98" fillId="0" borderId="0" xfId="41" applyNumberFormat="1"/>
    <xf numFmtId="4" fontId="5" fillId="35" borderId="13" xfId="0" applyNumberFormat="1" applyFont="1" applyFill="1" applyBorder="1" applyAlignment="1">
      <alignment horizontal="right" vertical="center" wrapText="1" indent="1"/>
    </xf>
    <xf numFmtId="4" fontId="5" fillId="0" borderId="13" xfId="0" applyNumberFormat="1" applyFont="1" applyFill="1" applyBorder="1" applyAlignment="1">
      <alignment horizontal="center" vertical="center" wrapText="1"/>
    </xf>
    <xf numFmtId="4" fontId="5" fillId="35" borderId="20" xfId="0" applyNumberFormat="1" applyFont="1" applyFill="1" applyBorder="1" applyAlignment="1">
      <alignment horizontal="right" vertical="center" wrapText="1" indent="1"/>
    </xf>
    <xf numFmtId="4" fontId="5" fillId="24" borderId="13" xfId="0" applyNumberFormat="1" applyFont="1" applyFill="1" applyBorder="1" applyAlignment="1">
      <alignment horizontal="right" vertical="center" wrapText="1" indent="1"/>
    </xf>
    <xf numFmtId="4" fontId="5" fillId="24" borderId="17" xfId="0" applyNumberFormat="1" applyFont="1" applyFill="1" applyBorder="1" applyAlignment="1">
      <alignment horizontal="right" vertical="center" wrapText="1" indent="1"/>
    </xf>
    <xf numFmtId="4" fontId="5" fillId="0" borderId="17" xfId="0" applyNumberFormat="1" applyFont="1" applyFill="1" applyBorder="1" applyAlignment="1">
      <alignment horizontal="center" vertical="center" wrapText="1"/>
    </xf>
    <xf numFmtId="4" fontId="9" fillId="24" borderId="18" xfId="0" applyNumberFormat="1" applyFont="1" applyFill="1" applyBorder="1" applyAlignment="1">
      <alignment horizontal="right" vertical="center" wrapText="1" indent="1"/>
    </xf>
    <xf numFmtId="4" fontId="9" fillId="35" borderId="20" xfId="0" applyNumberFormat="1" applyFont="1" applyFill="1" applyBorder="1" applyAlignment="1">
      <alignment horizontal="right" vertical="center" wrapText="1" indent="1"/>
    </xf>
    <xf numFmtId="4" fontId="10" fillId="0" borderId="13" xfId="0" applyNumberFormat="1" applyFont="1" applyBorder="1" applyAlignment="1">
      <alignment horizontal="center" vertical="center" wrapText="1"/>
    </xf>
    <xf numFmtId="4" fontId="10" fillId="0" borderId="14" xfId="0" applyNumberFormat="1" applyFont="1" applyBorder="1" applyAlignment="1">
      <alignment horizontal="center" vertical="center" wrapText="1"/>
    </xf>
    <xf numFmtId="4" fontId="9" fillId="24" borderId="27" xfId="0" applyNumberFormat="1" applyFont="1" applyFill="1" applyBorder="1" applyAlignment="1">
      <alignment horizontal="right" vertical="center" wrapText="1" indent="1"/>
    </xf>
    <xf numFmtId="4" fontId="9" fillId="35" borderId="27" xfId="0" applyNumberFormat="1" applyFont="1" applyFill="1" applyBorder="1" applyAlignment="1">
      <alignment horizontal="right" vertical="center" wrapText="1" indent="1"/>
    </xf>
    <xf numFmtId="4" fontId="9" fillId="24" borderId="20" xfId="0" applyNumberFormat="1" applyFont="1" applyFill="1" applyBorder="1" applyAlignment="1">
      <alignment horizontal="right" vertical="center" wrapText="1" indent="1"/>
    </xf>
    <xf numFmtId="4" fontId="9" fillId="24" borderId="28" xfId="0" applyNumberFormat="1" applyFont="1" applyFill="1" applyBorder="1" applyAlignment="1">
      <alignment horizontal="right" vertical="center" wrapText="1" inden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0" fontId="5" fillId="0" borderId="0" xfId="91" applyFont="1"/>
    <xf numFmtId="0" fontId="4" fillId="0" borderId="22" xfId="91" applyFont="1" applyBorder="1" applyAlignment="1">
      <alignment horizontal="center" vertical="center" wrapText="1"/>
    </xf>
    <xf numFmtId="49" fontId="4" fillId="0" borderId="37" xfId="91" applyNumberFormat="1" applyFont="1" applyBorder="1" applyAlignment="1">
      <alignment horizontal="center" vertical="center" wrapText="1"/>
    </xf>
    <xf numFmtId="0" fontId="4" fillId="0" borderId="15" xfId="91" applyFont="1" applyBorder="1" applyAlignment="1">
      <alignment horizontal="center" vertical="center" wrapText="1"/>
    </xf>
    <xf numFmtId="49" fontId="4" fillId="0" borderId="20" xfId="91" applyNumberFormat="1" applyFont="1" applyBorder="1" applyAlignment="1">
      <alignment horizontal="center" vertical="center" wrapText="1"/>
    </xf>
    <xf numFmtId="0" fontId="10" fillId="0" borderId="32" xfId="91" applyFont="1" applyBorder="1" applyAlignment="1">
      <alignment horizontal="center" vertical="center" wrapText="1"/>
    </xf>
    <xf numFmtId="0" fontId="10" fillId="0" borderId="38" xfId="91" applyFont="1" applyBorder="1" applyAlignment="1">
      <alignment horizontal="center" vertical="center" wrapText="1"/>
    </xf>
    <xf numFmtId="0" fontId="4" fillId="0" borderId="13" xfId="91" applyFont="1" applyBorder="1" applyAlignment="1">
      <alignment horizontal="center" vertical="center" wrapText="1"/>
    </xf>
    <xf numFmtId="0" fontId="10" fillId="0" borderId="52" xfId="91" applyFont="1" applyBorder="1" applyAlignment="1">
      <alignment horizontal="center" vertical="center" wrapText="1"/>
    </xf>
    <xf numFmtId="0" fontId="9" fillId="0" borderId="14" xfId="91" applyFont="1" applyBorder="1" applyAlignment="1">
      <alignment horizontal="center" vertical="center" wrapText="1"/>
    </xf>
    <xf numFmtId="0" fontId="5" fillId="0" borderId="22" xfId="91" applyFont="1" applyBorder="1" applyAlignment="1">
      <alignment horizontal="center" vertical="center" wrapText="1"/>
    </xf>
    <xf numFmtId="0" fontId="9" fillId="0" borderId="37" xfId="91" applyFont="1" applyBorder="1" applyAlignment="1">
      <alignment horizontal="left" vertical="center" wrapText="1" indent="1"/>
    </xf>
    <xf numFmtId="4" fontId="10" fillId="0" borderId="32" xfId="91" applyNumberFormat="1" applyFont="1" applyBorder="1" applyAlignment="1">
      <alignment horizontal="center" vertical="center" wrapText="1"/>
    </xf>
    <xf numFmtId="4" fontId="9" fillId="24" borderId="54" xfId="91" applyNumberFormat="1" applyFont="1" applyFill="1" applyBorder="1" applyAlignment="1">
      <alignment horizontal="right" vertical="center" wrapText="1" indent="1"/>
    </xf>
    <xf numFmtId="14" fontId="102" fillId="0" borderId="0" xfId="91" applyNumberFormat="1" applyFont="1" applyAlignment="1">
      <alignment vertical="center" wrapText="1"/>
    </xf>
    <xf numFmtId="0" fontId="102" fillId="0" borderId="0" xfId="91" applyFont="1" applyAlignment="1">
      <alignment vertical="center" wrapText="1"/>
    </xf>
    <xf numFmtId="0" fontId="5" fillId="0" borderId="0" xfId="91" applyFont="1" applyAlignment="1">
      <alignment vertical="center" wrapText="1"/>
    </xf>
    <xf numFmtId="0" fontId="5" fillId="0" borderId="15" xfId="91" applyFont="1" applyBorder="1" applyAlignment="1">
      <alignment horizontal="center" vertical="center" wrapText="1"/>
    </xf>
    <xf numFmtId="0" fontId="9" fillId="0" borderId="20" xfId="91" applyFont="1" applyBorder="1" applyAlignment="1">
      <alignment horizontal="left" vertical="center" wrapText="1" indent="1"/>
    </xf>
    <xf numFmtId="4" fontId="5" fillId="35" borderId="32" xfId="91" applyNumberFormat="1" applyFont="1" applyFill="1" applyBorder="1" applyAlignment="1">
      <alignment horizontal="right" vertical="center" wrapText="1" indent="1"/>
    </xf>
    <xf numFmtId="4" fontId="5" fillId="35" borderId="54" xfId="91" applyNumberFormat="1" applyFont="1" applyFill="1" applyBorder="1" applyAlignment="1">
      <alignment horizontal="right" vertical="center" wrapText="1" indent="1"/>
    </xf>
    <xf numFmtId="3" fontId="5" fillId="0" borderId="0" xfId="91" applyNumberFormat="1" applyFont="1"/>
    <xf numFmtId="4" fontId="5" fillId="0" borderId="0" xfId="91" applyNumberFormat="1" applyFont="1"/>
    <xf numFmtId="4" fontId="9" fillId="24" borderId="13" xfId="91" applyNumberFormat="1" applyFont="1" applyFill="1" applyBorder="1" applyAlignment="1">
      <alignment horizontal="right" vertical="center" wrapText="1" indent="1"/>
    </xf>
    <xf numFmtId="4" fontId="9" fillId="24" borderId="27" xfId="91" applyNumberFormat="1" applyFont="1" applyFill="1" applyBorder="1" applyAlignment="1">
      <alignment horizontal="right" vertical="center" wrapText="1" indent="1"/>
    </xf>
    <xf numFmtId="4" fontId="9" fillId="24" borderId="38" xfId="91" applyNumberFormat="1" applyFont="1" applyFill="1" applyBorder="1" applyAlignment="1">
      <alignment horizontal="right" vertical="center" wrapText="1" indent="1"/>
    </xf>
    <xf numFmtId="0" fontId="5" fillId="0" borderId="82" xfId="91" applyFont="1" applyBorder="1" applyAlignment="1">
      <alignment horizontal="center" vertical="center" wrapText="1"/>
    </xf>
    <xf numFmtId="0" fontId="9" fillId="0" borderId="55" xfId="91" applyFont="1" applyBorder="1" applyAlignment="1">
      <alignment horizontal="left" vertical="center" wrapText="1" indent="1"/>
    </xf>
    <xf numFmtId="3" fontId="5" fillId="35" borderId="17" xfId="91" applyNumberFormat="1" applyFont="1" applyFill="1" applyBorder="1" applyAlignment="1">
      <alignment horizontal="right" vertical="center" wrapText="1" indent="1"/>
    </xf>
    <xf numFmtId="3" fontId="5" fillId="35" borderId="78" xfId="91" applyNumberFormat="1" applyFont="1" applyFill="1" applyBorder="1" applyAlignment="1">
      <alignment horizontal="right" vertical="center" wrapText="1" indent="1"/>
    </xf>
    <xf numFmtId="3" fontId="5" fillId="35" borderId="83" xfId="91" applyNumberFormat="1" applyFont="1" applyFill="1" applyBorder="1" applyAlignment="1">
      <alignment horizontal="right" vertical="center" wrapText="1" indent="1"/>
    </xf>
    <xf numFmtId="0" fontId="5" fillId="0" borderId="0" xfId="91" applyFont="1" applyBorder="1" applyAlignment="1">
      <alignment horizontal="center" vertical="center" wrapText="1"/>
    </xf>
    <xf numFmtId="0" fontId="9" fillId="0" borderId="0" xfId="91" applyFont="1" applyBorder="1" applyAlignment="1">
      <alignment horizontal="left" vertical="center" wrapText="1" indent="1"/>
    </xf>
    <xf numFmtId="0" fontId="26" fillId="0" borderId="20" xfId="91" applyFont="1" applyBorder="1" applyAlignment="1">
      <alignment vertical="center"/>
    </xf>
    <xf numFmtId="0" fontId="26" fillId="0" borderId="52" xfId="91" applyFont="1" applyBorder="1" applyAlignment="1">
      <alignment vertical="center"/>
    </xf>
    <xf numFmtId="49" fontId="121" fillId="0" borderId="52" xfId="91" applyNumberFormat="1" applyFont="1" applyBorder="1"/>
    <xf numFmtId="0" fontId="26" fillId="0" borderId="27" xfId="91" applyFont="1" applyBorder="1"/>
    <xf numFmtId="49" fontId="5" fillId="0" borderId="0" xfId="91" applyNumberFormat="1" applyFont="1"/>
    <xf numFmtId="49" fontId="36" fillId="0" borderId="0" xfId="91" applyNumberFormat="1" applyFont="1"/>
    <xf numFmtId="4" fontId="5" fillId="0" borderId="0" xfId="0" applyNumberFormat="1" applyFont="1" applyBorder="1" applyAlignment="1">
      <alignment vertical="center" wrapText="1"/>
    </xf>
    <xf numFmtId="4" fontId="102" fillId="0" borderId="0" xfId="0" applyNumberFormat="1" applyFont="1" applyBorder="1" applyAlignment="1">
      <alignment horizontal="right" vertical="center" wrapText="1"/>
    </xf>
    <xf numFmtId="4" fontId="111" fillId="0" borderId="0" xfId="0" applyNumberFormat="1" applyFont="1" applyBorder="1" applyAlignment="1">
      <alignment vertical="center" wrapText="1"/>
    </xf>
    <xf numFmtId="4" fontId="102" fillId="0" borderId="0" xfId="0" applyNumberFormat="1" applyFont="1" applyBorder="1" applyAlignment="1">
      <alignment vertical="center" wrapText="1"/>
    </xf>
    <xf numFmtId="4" fontId="10" fillId="35" borderId="14" xfId="0" applyNumberFormat="1" applyFont="1" applyFill="1" applyBorder="1" applyAlignment="1">
      <alignment horizontal="right" vertical="center" wrapText="1" indent="1"/>
    </xf>
    <xf numFmtId="4" fontId="4" fillId="35" borderId="14" xfId="0" applyNumberFormat="1" applyFont="1" applyFill="1" applyBorder="1" applyAlignment="1">
      <alignment horizontal="right" vertical="center" wrapText="1" indent="1"/>
    </xf>
    <xf numFmtId="4" fontId="4" fillId="35" borderId="13" xfId="0" applyNumberFormat="1" applyFont="1" applyFill="1" applyBorder="1" applyAlignment="1">
      <alignment horizontal="right" vertical="center" wrapText="1" indent="1"/>
    </xf>
    <xf numFmtId="4" fontId="4" fillId="24" borderId="13" xfId="0" applyNumberFormat="1" applyFont="1" applyFill="1" applyBorder="1" applyAlignment="1">
      <alignment horizontal="right" vertical="center" wrapText="1" indent="1"/>
    </xf>
    <xf numFmtId="4" fontId="4" fillId="24" borderId="14" xfId="0" applyNumberFormat="1" applyFont="1" applyFill="1" applyBorder="1" applyAlignment="1">
      <alignment horizontal="right" vertical="center" wrapText="1" indent="1"/>
    </xf>
    <xf numFmtId="4" fontId="4" fillId="24" borderId="17" xfId="0" applyNumberFormat="1" applyFont="1" applyFill="1" applyBorder="1" applyAlignment="1">
      <alignment horizontal="right" vertical="center" wrapText="1" indent="1"/>
    </xf>
    <xf numFmtId="4" fontId="4" fillId="24" borderId="18" xfId="0" applyNumberFormat="1" applyFont="1" applyFill="1" applyBorder="1" applyAlignment="1">
      <alignment horizontal="right" vertical="center" wrapText="1" indent="1"/>
    </xf>
    <xf numFmtId="4" fontId="33" fillId="0" borderId="0" xfId="0" applyNumberFormat="1" applyFont="1" applyBorder="1" applyAlignment="1">
      <alignment vertical="center" wrapText="1"/>
    </xf>
    <xf numFmtId="3" fontId="4" fillId="0" borderId="0" xfId="0" applyNumberFormat="1" applyFont="1" applyBorder="1" applyAlignment="1">
      <alignment horizontal="center" vertical="center"/>
    </xf>
    <xf numFmtId="4" fontId="9" fillId="24" borderId="75" xfId="0" applyNumberFormat="1" applyFont="1" applyFill="1" applyBorder="1" applyAlignment="1">
      <alignment horizontal="right" vertical="center" wrapText="1" indent="1"/>
    </xf>
    <xf numFmtId="4" fontId="9" fillId="24" borderId="51" xfId="0" applyNumberFormat="1" applyFont="1" applyFill="1" applyBorder="1" applyAlignment="1">
      <alignment horizontal="right" vertical="center" wrapText="1" indent="1"/>
    </xf>
    <xf numFmtId="4" fontId="5" fillId="0" borderId="0" xfId="0" applyNumberFormat="1" applyFont="1" applyBorder="1"/>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5" fillId="35" borderId="19" xfId="0" applyNumberFormat="1" applyFont="1" applyFill="1" applyBorder="1" applyAlignment="1">
      <alignment horizontal="right" vertical="center" wrapText="1" indent="1"/>
    </xf>
    <xf numFmtId="4" fontId="5" fillId="35" borderId="13" xfId="0" applyNumberFormat="1" applyFont="1" applyFill="1" applyBorder="1" applyAlignment="1">
      <alignment vertical="center" wrapText="1"/>
    </xf>
    <xf numFmtId="4" fontId="5" fillId="35" borderId="13" xfId="0" applyNumberFormat="1" applyFont="1" applyFill="1" applyBorder="1" applyAlignment="1">
      <alignment horizontal="right" vertical="center" wrapText="1"/>
    </xf>
    <xf numFmtId="3" fontId="138" fillId="0" borderId="12" xfId="0" applyNumberFormat="1" applyFont="1" applyBorder="1"/>
    <xf numFmtId="4" fontId="139" fillId="0" borderId="0" xfId="0" applyNumberFormat="1" applyFont="1"/>
    <xf numFmtId="4" fontId="140" fillId="37" borderId="12" xfId="0" applyNumberFormat="1" applyFont="1" applyFill="1" applyBorder="1" applyAlignment="1">
      <alignment vertical="center" wrapText="1"/>
    </xf>
    <xf numFmtId="3" fontId="141" fillId="0" borderId="0" xfId="0" applyNumberFormat="1" applyFont="1"/>
    <xf numFmtId="0" fontId="140" fillId="0" borderId="0" xfId="0" applyFont="1"/>
    <xf numFmtId="0" fontId="140" fillId="37" borderId="12" xfId="0" applyFont="1" applyFill="1" applyBorder="1"/>
    <xf numFmtId="4" fontId="140" fillId="0" borderId="0" xfId="0" applyNumberFormat="1" applyFont="1" applyAlignment="1">
      <alignment horizontal="left"/>
    </xf>
    <xf numFmtId="4" fontId="142" fillId="37" borderId="12" xfId="0" applyNumberFormat="1" applyFont="1" applyFill="1" applyBorder="1" applyAlignment="1">
      <alignment vertical="center" wrapText="1"/>
    </xf>
    <xf numFmtId="0" fontId="142" fillId="0" borderId="0" xfId="0" applyFont="1"/>
    <xf numFmtId="4" fontId="140" fillId="0" borderId="0" xfId="0" applyNumberFormat="1" applyFont="1"/>
    <xf numFmtId="0" fontId="143" fillId="0" borderId="0" xfId="0" applyFont="1"/>
    <xf numFmtId="0" fontId="144" fillId="0" borderId="0" xfId="0" applyFont="1" applyAlignment="1">
      <alignment horizontal="right"/>
    </xf>
    <xf numFmtId="4" fontId="144" fillId="0" borderId="0" xfId="0" applyNumberFormat="1" applyFont="1"/>
    <xf numFmtId="4" fontId="9" fillId="35" borderId="13" xfId="0" applyNumberFormat="1" applyFont="1" applyFill="1" applyBorder="1" applyAlignment="1">
      <alignment horizontal="right" vertical="center" wrapText="1" indent="1"/>
    </xf>
    <xf numFmtId="4" fontId="102" fillId="35" borderId="13" xfId="0" applyNumberFormat="1" applyFont="1" applyFill="1" applyBorder="1" applyAlignment="1">
      <alignment horizontal="right" vertical="center" wrapText="1" indent="1"/>
    </xf>
    <xf numFmtId="4" fontId="102" fillId="35" borderId="13" xfId="0" applyNumberFormat="1" applyFont="1" applyFill="1" applyBorder="1" applyAlignment="1">
      <alignment horizontal="right" vertical="center" wrapText="1"/>
    </xf>
    <xf numFmtId="0" fontId="139" fillId="0" borderId="0" xfId="0" applyFont="1" applyFill="1"/>
    <xf numFmtId="4" fontId="147" fillId="0" borderId="0" xfId="0" applyNumberFormat="1" applyFont="1" applyFill="1" applyBorder="1" applyAlignment="1"/>
    <xf numFmtId="4" fontId="102" fillId="0" borderId="0" xfId="0" applyNumberFormat="1" applyFont="1" applyFill="1"/>
    <xf numFmtId="0" fontId="149" fillId="0" borderId="0" xfId="0" applyFont="1" applyBorder="1" applyAlignment="1">
      <alignment horizontal="left" vertical="center"/>
    </xf>
    <xf numFmtId="4" fontId="31" fillId="0" borderId="0" xfId="0" applyNumberFormat="1" applyFont="1" applyBorder="1" applyAlignment="1">
      <alignment horizontal="left" vertical="center"/>
    </xf>
    <xf numFmtId="4" fontId="146" fillId="0" borderId="0" xfId="0" applyNumberFormat="1" applyFont="1" applyBorder="1" applyAlignment="1">
      <alignment vertical="center" wrapText="1"/>
    </xf>
    <xf numFmtId="4" fontId="150" fillId="0" borderId="0" xfId="0" applyNumberFormat="1" applyFont="1" applyBorder="1" applyAlignment="1">
      <alignment horizontal="left" vertical="center"/>
    </xf>
    <xf numFmtId="0" fontId="150" fillId="0" borderId="0" xfId="0" applyFont="1" applyBorder="1" applyAlignment="1">
      <alignment horizontal="left" vertical="center"/>
    </xf>
    <xf numFmtId="2" fontId="26" fillId="0" borderId="0" xfId="0" applyNumberFormat="1" applyFont="1" applyFill="1" applyBorder="1" applyAlignment="1">
      <alignment vertical="center"/>
    </xf>
    <xf numFmtId="3" fontId="146"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5" fillId="0" borderId="0" xfId="0" applyNumberFormat="1" applyFont="1" applyFill="1" applyBorder="1"/>
    <xf numFmtId="4" fontId="146" fillId="0" borderId="0" xfId="0" applyNumberFormat="1" applyFont="1" applyFill="1" applyBorder="1"/>
    <xf numFmtId="165" fontId="5" fillId="0" borderId="0" xfId="0" applyNumberFormat="1" applyFont="1" applyFill="1" applyBorder="1"/>
    <xf numFmtId="4" fontId="102" fillId="0" borderId="0" xfId="0" applyNumberFormat="1" applyFont="1" applyFill="1" applyBorder="1"/>
    <xf numFmtId="0" fontId="102" fillId="0" borderId="0" xfId="0" applyFont="1" applyFill="1" applyBorder="1"/>
    <xf numFmtId="1" fontId="146" fillId="0" borderId="0" xfId="0" applyNumberFormat="1" applyFont="1" applyFill="1" applyBorder="1"/>
    <xf numFmtId="3" fontId="146" fillId="0" borderId="0" xfId="0" applyNumberFormat="1" applyFont="1" applyFill="1" applyBorder="1"/>
    <xf numFmtId="166" fontId="102" fillId="0" borderId="0" xfId="0" applyNumberFormat="1" applyFont="1" applyFill="1" applyBorder="1"/>
    <xf numFmtId="49" fontId="146" fillId="0" borderId="0" xfId="0" applyNumberFormat="1" applyFont="1" applyFill="1" applyBorder="1"/>
    <xf numFmtId="4" fontId="73" fillId="35" borderId="17" xfId="0" applyNumberFormat="1" applyFont="1" applyFill="1" applyBorder="1" applyAlignment="1">
      <alignment horizontal="right" vertical="center" wrapText="1" indent="1"/>
    </xf>
    <xf numFmtId="4" fontId="10" fillId="0" borderId="0" xfId="45" applyNumberFormat="1" applyFont="1" applyBorder="1" applyAlignment="1">
      <alignment vertical="center" wrapText="1"/>
    </xf>
    <xf numFmtId="3" fontId="10" fillId="0" borderId="0" xfId="103" applyNumberFormat="1" applyFont="1" applyBorder="1" applyAlignment="1">
      <alignment vertical="center"/>
    </xf>
    <xf numFmtId="3" fontId="10" fillId="0" borderId="0" xfId="103" applyNumberFormat="1" applyFont="1" applyBorder="1" applyAlignment="1">
      <alignment vertical="center" wrapText="1"/>
    </xf>
    <xf numFmtId="4" fontId="10" fillId="0" borderId="0" xfId="103" applyNumberFormat="1" applyFont="1" applyBorder="1" applyAlignment="1">
      <alignment vertical="center" wrapText="1"/>
    </xf>
    <xf numFmtId="4" fontId="100" fillId="0" borderId="0" xfId="45" applyNumberFormat="1" applyFont="1" applyBorder="1" applyAlignment="1">
      <alignment vertical="center" wrapText="1"/>
    </xf>
    <xf numFmtId="4" fontId="10" fillId="35" borderId="13" xfId="0" applyNumberFormat="1" applyFont="1" applyFill="1" applyBorder="1" applyAlignment="1">
      <alignment horizontal="right" vertical="center" wrapText="1" indent="1"/>
    </xf>
    <xf numFmtId="4" fontId="5" fillId="37" borderId="0" xfId="0" applyNumberFormat="1" applyFont="1" applyFill="1" applyBorder="1" applyAlignment="1">
      <alignment horizontal="right" vertical="center" wrapText="1" indent="1"/>
    </xf>
    <xf numFmtId="4" fontId="10" fillId="37" borderId="0" xfId="0" applyNumberFormat="1" applyFont="1" applyFill="1" applyBorder="1" applyAlignment="1">
      <alignment horizontal="right" vertical="center" wrapText="1" indent="1"/>
    </xf>
    <xf numFmtId="0" fontId="10" fillId="0" borderId="0" xfId="104" applyFont="1" applyAlignment="1">
      <alignment vertical="center" wrapText="1"/>
    </xf>
    <xf numFmtId="3" fontId="9" fillId="0" borderId="71" xfId="104" applyNumberFormat="1" applyFont="1" applyFill="1" applyBorder="1" applyAlignment="1">
      <alignment horizontal="center" vertical="center" wrapText="1"/>
    </xf>
    <xf numFmtId="0" fontId="9" fillId="37" borderId="72" xfId="104" applyFont="1" applyFill="1" applyBorder="1" applyAlignment="1">
      <alignment horizontal="center" vertical="center" wrapText="1"/>
    </xf>
    <xf numFmtId="0" fontId="9" fillId="37" borderId="76" xfId="104" applyFont="1" applyFill="1" applyBorder="1" applyAlignment="1">
      <alignment horizontal="center" vertical="center" wrapText="1"/>
    </xf>
    <xf numFmtId="0" fontId="9" fillId="37" borderId="79" xfId="104" applyFont="1" applyFill="1" applyBorder="1" applyAlignment="1">
      <alignment horizontal="center" vertical="center" wrapText="1"/>
    </xf>
    <xf numFmtId="0" fontId="9" fillId="0" borderId="0" xfId="104" applyFont="1" applyAlignment="1">
      <alignment horizontal="center" vertical="center" wrapText="1"/>
    </xf>
    <xf numFmtId="3" fontId="9" fillId="0" borderId="15" xfId="104" applyNumberFormat="1" applyFont="1" applyFill="1" applyBorder="1" applyAlignment="1">
      <alignment horizontal="center" vertical="center" wrapText="1"/>
    </xf>
    <xf numFmtId="3" fontId="9" fillId="0" borderId="13" xfId="104" applyNumberFormat="1" applyFont="1" applyFill="1" applyBorder="1" applyAlignment="1">
      <alignment horizontal="center" vertical="center" wrapText="1"/>
    </xf>
    <xf numFmtId="0" fontId="9" fillId="37" borderId="13" xfId="104" applyFont="1" applyFill="1" applyBorder="1" applyAlignment="1">
      <alignment horizontal="center" vertical="center" wrapText="1"/>
    </xf>
    <xf numFmtId="0" fontId="9" fillId="37" borderId="14" xfId="104" applyFont="1" applyFill="1" applyBorder="1" applyAlignment="1">
      <alignment horizontal="center" vertical="center" wrapText="1"/>
    </xf>
    <xf numFmtId="0" fontId="26" fillId="0" borderId="22" xfId="92" applyFont="1" applyBorder="1" applyAlignment="1">
      <alignment horizontal="left" indent="1"/>
    </xf>
    <xf numFmtId="0" fontId="26" fillId="0" borderId="29" xfId="92" applyFont="1" applyBorder="1"/>
    <xf numFmtId="49" fontId="26" fillId="0" borderId="37" xfId="92" applyNumberFormat="1" applyFont="1" applyBorder="1" applyAlignment="1">
      <alignment horizontal="center"/>
    </xf>
    <xf numFmtId="0" fontId="26" fillId="0" borderId="15" xfId="92" applyFont="1" applyBorder="1" applyAlignment="1">
      <alignment horizontal="left" indent="1"/>
    </xf>
    <xf numFmtId="0" fontId="26" fillId="0" borderId="13" xfId="92" applyFont="1" applyBorder="1"/>
    <xf numFmtId="49" fontId="26" fillId="0" borderId="20" xfId="92" applyNumberFormat="1" applyFont="1" applyBorder="1" applyAlignment="1">
      <alignment horizontal="center"/>
    </xf>
    <xf numFmtId="0" fontId="26" fillId="0" borderId="13" xfId="92" applyFont="1" applyBorder="1" applyAlignment="1">
      <alignment vertical="center"/>
    </xf>
    <xf numFmtId="0" fontId="152" fillId="0" borderId="0" xfId="0" applyFont="1"/>
    <xf numFmtId="4" fontId="152" fillId="0" borderId="0" xfId="0" applyNumberFormat="1" applyFont="1"/>
    <xf numFmtId="3" fontId="152" fillId="0" borderId="0" xfId="0" applyNumberFormat="1" applyFont="1"/>
    <xf numFmtId="0" fontId="26" fillId="0" borderId="15" xfId="92" applyFont="1" applyFill="1" applyBorder="1" applyAlignment="1">
      <alignment horizontal="left" indent="1"/>
    </xf>
    <xf numFmtId="2" fontId="152" fillId="0" borderId="0" xfId="0" applyNumberFormat="1" applyFont="1"/>
    <xf numFmtId="49" fontId="60" fillId="32" borderId="20" xfId="92" applyNumberFormat="1" applyFont="1" applyFill="1" applyBorder="1" applyAlignment="1">
      <alignment horizontal="center"/>
    </xf>
    <xf numFmtId="49" fontId="60" fillId="0" borderId="20" xfId="92" applyNumberFormat="1" applyFont="1" applyBorder="1" applyAlignment="1">
      <alignment horizontal="center"/>
    </xf>
    <xf numFmtId="3" fontId="10" fillId="0" borderId="0" xfId="104" applyNumberFormat="1" applyFont="1" applyAlignment="1">
      <alignment vertical="center" wrapText="1"/>
    </xf>
    <xf numFmtId="49" fontId="60" fillId="32" borderId="28" xfId="92" applyNumberFormat="1" applyFont="1" applyFill="1" applyBorder="1" applyAlignment="1">
      <alignment horizontal="center"/>
    </xf>
    <xf numFmtId="0" fontId="9" fillId="0" borderId="71" xfId="104" applyNumberFormat="1" applyFont="1" applyFill="1" applyBorder="1" applyAlignment="1">
      <alignment horizontal="center" vertical="center" wrapText="1"/>
    </xf>
    <xf numFmtId="0" fontId="9" fillId="0" borderId="81" xfId="104" applyNumberFormat="1" applyFont="1" applyFill="1" applyBorder="1" applyAlignment="1">
      <alignment horizontal="center" vertical="center" wrapText="1"/>
    </xf>
    <xf numFmtId="0" fontId="9" fillId="0" borderId="13" xfId="104" applyNumberFormat="1" applyFont="1" applyFill="1" applyBorder="1" applyAlignment="1">
      <alignment horizontal="center" vertical="center" wrapText="1"/>
    </xf>
    <xf numFmtId="0" fontId="10" fillId="0" borderId="22" xfId="92" applyFont="1" applyBorder="1" applyAlignment="1">
      <alignment horizontal="left" indent="1"/>
    </xf>
    <xf numFmtId="0" fontId="10" fillId="0" borderId="29" xfId="92" applyFont="1" applyBorder="1"/>
    <xf numFmtId="49" fontId="10" fillId="0" borderId="37" xfId="92" applyNumberFormat="1" applyFont="1" applyBorder="1" applyAlignment="1">
      <alignment horizontal="center"/>
    </xf>
    <xf numFmtId="0" fontId="10" fillId="0" borderId="15" xfId="92" applyFont="1" applyBorder="1" applyAlignment="1">
      <alignment horizontal="left" indent="1"/>
    </xf>
    <xf numFmtId="0" fontId="10" fillId="0" borderId="13" xfId="92" applyFont="1" applyBorder="1"/>
    <xf numFmtId="49" fontId="10" fillId="0" borderId="20" xfId="92" applyNumberFormat="1" applyFont="1" applyBorder="1" applyAlignment="1">
      <alignment horizontal="center"/>
    </xf>
    <xf numFmtId="0" fontId="10" fillId="0" borderId="15" xfId="92" applyFont="1" applyFill="1" applyBorder="1" applyAlignment="1">
      <alignment horizontal="left" indent="1"/>
    </xf>
    <xf numFmtId="0" fontId="10" fillId="0" borderId="21" xfId="92" applyFont="1" applyFill="1" applyBorder="1" applyAlignment="1">
      <alignment horizontal="left" indent="1"/>
    </xf>
    <xf numFmtId="0" fontId="101" fillId="0" borderId="19" xfId="92" applyFont="1" applyBorder="1"/>
    <xf numFmtId="0" fontId="10" fillId="0" borderId="19" xfId="92" applyFont="1" applyBorder="1"/>
    <xf numFmtId="49" fontId="10" fillId="0" borderId="35" xfId="92" applyNumberFormat="1" applyFont="1" applyBorder="1" applyAlignment="1">
      <alignment horizontal="center"/>
    </xf>
    <xf numFmtId="49" fontId="60" fillId="32" borderId="53" xfId="92" applyNumberFormat="1" applyFont="1" applyFill="1" applyBorder="1" applyAlignment="1">
      <alignment horizontal="center" vertical="center"/>
    </xf>
    <xf numFmtId="3" fontId="5" fillId="0" borderId="0" xfId="0" applyNumberFormat="1" applyFont="1" applyAlignment="1">
      <alignment vertical="center" wrapText="1"/>
    </xf>
    <xf numFmtId="4" fontId="5" fillId="0" borderId="0" xfId="0" applyNumberFormat="1" applyFont="1" applyAlignment="1">
      <alignment vertical="center" wrapText="1"/>
    </xf>
    <xf numFmtId="3" fontId="102" fillId="0" borderId="0" xfId="0" applyNumberFormat="1" applyFont="1" applyAlignment="1">
      <alignment vertical="center" wrapText="1"/>
    </xf>
    <xf numFmtId="2" fontId="0" fillId="0" borderId="0" xfId="0" applyNumberFormat="1"/>
    <xf numFmtId="4" fontId="0" fillId="0" borderId="0" xfId="0" applyNumberFormat="1"/>
    <xf numFmtId="4" fontId="5" fillId="35" borderId="13" xfId="91" applyNumberFormat="1" applyFont="1" applyFill="1" applyBorder="1" applyAlignment="1">
      <alignment horizontal="right" vertical="center" wrapText="1" indent="1"/>
    </xf>
    <xf numFmtId="4" fontId="5" fillId="35" borderId="38" xfId="91" applyNumberFormat="1" applyFont="1" applyFill="1" applyBorder="1" applyAlignment="1">
      <alignment horizontal="right" vertical="center" wrapText="1" indent="1"/>
    </xf>
    <xf numFmtId="4" fontId="5" fillId="0" borderId="13" xfId="91" applyNumberFormat="1" applyFont="1" applyFill="1" applyBorder="1" applyAlignment="1">
      <alignment horizontal="right" vertical="center" wrapText="1" indent="1"/>
    </xf>
    <xf numFmtId="4" fontId="5" fillId="0" borderId="38" xfId="91" applyNumberFormat="1" applyFont="1" applyFill="1" applyBorder="1" applyAlignment="1">
      <alignment horizontal="right" vertical="center" wrapText="1" indent="1"/>
    </xf>
    <xf numFmtId="4" fontId="9" fillId="24" borderId="13" xfId="40" applyNumberFormat="1" applyFont="1" applyFill="1" applyBorder="1" applyAlignment="1">
      <alignment horizontal="right" vertical="center" wrapText="1" indent="1"/>
    </xf>
    <xf numFmtId="4" fontId="9" fillId="24" borderId="38" xfId="40" applyNumberFormat="1" applyFont="1" applyFill="1" applyBorder="1" applyAlignment="1">
      <alignment horizontal="right" vertical="center" wrapText="1" indent="1"/>
    </xf>
    <xf numFmtId="4" fontId="5" fillId="24" borderId="13" xfId="40" applyNumberFormat="1" applyFont="1" applyFill="1" applyBorder="1" applyAlignment="1">
      <alignment horizontal="right" vertical="center" wrapText="1" indent="1"/>
    </xf>
    <xf numFmtId="4" fontId="5" fillId="24" borderId="38" xfId="40" applyNumberFormat="1" applyFont="1" applyFill="1" applyBorder="1" applyAlignment="1">
      <alignment horizontal="right" vertical="center" wrapText="1" indent="1"/>
    </xf>
    <xf numFmtId="4" fontId="9" fillId="24" borderId="17" xfId="40" applyNumberFormat="1" applyFont="1" applyFill="1" applyBorder="1" applyAlignment="1">
      <alignment horizontal="right" vertical="center" wrapText="1" indent="1"/>
    </xf>
    <xf numFmtId="4" fontId="9" fillId="24" borderId="39" xfId="40" applyNumberFormat="1" applyFont="1" applyFill="1" applyBorder="1" applyAlignment="1">
      <alignment horizontal="right" vertical="center" wrapText="1" indent="1"/>
    </xf>
    <xf numFmtId="4" fontId="5"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35" borderId="14" xfId="0" applyNumberFormat="1" applyFont="1" applyFill="1" applyBorder="1" applyAlignment="1">
      <alignment horizontal="right" vertical="center" wrapText="1" indent="1"/>
    </xf>
    <xf numFmtId="4" fontId="5" fillId="0" borderId="17"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168" fontId="9" fillId="24" borderId="13" xfId="0" applyNumberFormat="1" applyFont="1" applyFill="1" applyBorder="1" applyAlignment="1">
      <alignment horizontal="right" vertical="center" wrapText="1" indent="1"/>
    </xf>
    <xf numFmtId="4" fontId="9" fillId="24" borderId="43" xfId="0" applyNumberFormat="1" applyFont="1" applyFill="1" applyBorder="1" applyAlignment="1">
      <alignment horizontal="right" vertical="center" wrapText="1" indent="1"/>
    </xf>
    <xf numFmtId="168" fontId="5" fillId="35" borderId="13" xfId="27" applyNumberFormat="1" applyFont="1" applyFill="1" applyBorder="1" applyAlignment="1">
      <alignment horizontal="right" vertical="center" wrapText="1" indent="1"/>
    </xf>
    <xf numFmtId="168" fontId="5" fillId="37" borderId="13" xfId="27" applyNumberFormat="1" applyFont="1" applyFill="1" applyBorder="1" applyAlignment="1">
      <alignment horizontal="right" vertical="center" wrapText="1" indent="1"/>
    </xf>
    <xf numFmtId="168" fontId="9" fillId="37" borderId="13" xfId="0" applyNumberFormat="1" applyFont="1" applyFill="1" applyBorder="1" applyAlignment="1">
      <alignment horizontal="right" vertical="center" wrapText="1" indent="1"/>
    </xf>
    <xf numFmtId="169" fontId="5" fillId="35" borderId="13" xfId="27" applyNumberFormat="1" applyFont="1" applyFill="1" applyBorder="1" applyAlignment="1">
      <alignment horizontal="right" vertical="center" wrapText="1" indent="1"/>
    </xf>
    <xf numFmtId="168" fontId="9" fillId="24" borderId="17" xfId="0" applyNumberFormat="1" applyFont="1" applyFill="1" applyBorder="1" applyAlignment="1">
      <alignment horizontal="right" vertical="center" wrapText="1" indent="1"/>
    </xf>
    <xf numFmtId="4" fontId="9" fillId="24" borderId="56" xfId="0" applyNumberFormat="1" applyFont="1" applyFill="1" applyBorder="1" applyAlignment="1">
      <alignment horizontal="right" vertical="center" wrapText="1" indent="1"/>
    </xf>
    <xf numFmtId="4" fontId="9" fillId="24" borderId="62" xfId="0" applyNumberFormat="1" applyFont="1" applyFill="1" applyBorder="1" applyAlignment="1">
      <alignment horizontal="right" vertical="center" wrapText="1" indent="1"/>
    </xf>
    <xf numFmtId="164" fontId="9" fillId="24" borderId="62" xfId="0" applyNumberFormat="1" applyFont="1" applyFill="1" applyBorder="1" applyAlignment="1">
      <alignment horizontal="right" vertical="center" wrapText="1" indent="1"/>
    </xf>
    <xf numFmtId="164" fontId="9" fillId="24" borderId="43" xfId="0" applyNumberFormat="1" applyFont="1" applyFill="1" applyBorder="1" applyAlignment="1">
      <alignment horizontal="right" vertical="center" wrapText="1" indent="1"/>
    </xf>
    <xf numFmtId="164" fontId="9" fillId="37" borderId="20" xfId="0" applyNumberFormat="1" applyFont="1" applyFill="1" applyBorder="1" applyAlignment="1">
      <alignment horizontal="right" vertical="center" wrapText="1" indent="1"/>
    </xf>
    <xf numFmtId="164" fontId="9" fillId="37" borderId="43" xfId="0" applyNumberFormat="1" applyFont="1" applyFill="1" applyBorder="1" applyAlignment="1">
      <alignment horizontal="right" vertical="center" wrapText="1" indent="1"/>
    </xf>
    <xf numFmtId="164" fontId="9" fillId="24" borderId="80" xfId="0" applyNumberFormat="1" applyFont="1" applyFill="1" applyBorder="1" applyAlignment="1">
      <alignment horizontal="right" vertical="center" wrapText="1" indent="1"/>
    </xf>
    <xf numFmtId="164" fontId="9" fillId="24" borderId="56" xfId="0" applyNumberFormat="1" applyFont="1" applyFill="1" applyBorder="1" applyAlignment="1">
      <alignment horizontal="right" vertical="center" wrapText="1" indent="1"/>
    </xf>
    <xf numFmtId="4" fontId="9" fillId="0" borderId="0" xfId="0" applyNumberFormat="1" applyFont="1"/>
    <xf numFmtId="0" fontId="9" fillId="0" borderId="0" xfId="0" applyFont="1"/>
    <xf numFmtId="49" fontId="4" fillId="0" borderId="13" xfId="91" applyNumberFormat="1" applyFont="1" applyBorder="1" applyAlignment="1">
      <alignment horizontal="left" vertical="center" wrapText="1" indent="1"/>
    </xf>
    <xf numFmtId="3" fontId="4" fillId="0" borderId="13" xfId="91" applyNumberFormat="1" applyFont="1" applyFill="1" applyBorder="1" applyAlignment="1">
      <alignment horizontal="center" vertical="center" wrapText="1"/>
    </xf>
    <xf numFmtId="3" fontId="4" fillId="0" borderId="14" xfId="91" applyNumberFormat="1" applyFont="1" applyFill="1" applyBorder="1" applyAlignment="1">
      <alignment horizontal="center" vertical="center" wrapText="1"/>
    </xf>
    <xf numFmtId="0" fontId="5" fillId="0" borderId="15" xfId="91" applyFont="1" applyBorder="1" applyAlignment="1">
      <alignment horizontal="center" vertical="center"/>
    </xf>
    <xf numFmtId="0" fontId="4" fillId="0" borderId="13" xfId="91" applyFont="1" applyBorder="1" applyAlignment="1">
      <alignment horizontal="left" vertical="top" wrapText="1" indent="1"/>
    </xf>
    <xf numFmtId="4" fontId="9" fillId="24" borderId="14" xfId="91" applyNumberFormat="1" applyFont="1" applyFill="1" applyBorder="1" applyAlignment="1">
      <alignment horizontal="right" vertical="center" wrapText="1" indent="1"/>
    </xf>
    <xf numFmtId="0" fontId="5" fillId="0" borderId="13" xfId="91" applyFont="1" applyBorder="1" applyAlignment="1">
      <alignment horizontal="left" vertical="top" wrapText="1" indent="1"/>
    </xf>
    <xf numFmtId="0" fontId="10" fillId="0" borderId="13" xfId="91" applyFont="1" applyBorder="1" applyAlignment="1">
      <alignment horizontal="left" vertical="top" wrapText="1" indent="1"/>
    </xf>
    <xf numFmtId="0" fontId="5" fillId="0" borderId="13" xfId="91" applyFont="1" applyBorder="1" applyAlignment="1">
      <alignment horizontal="left" indent="1"/>
    </xf>
    <xf numFmtId="4" fontId="9" fillId="52" borderId="14" xfId="91" applyNumberFormat="1" applyFont="1" applyFill="1" applyBorder="1" applyAlignment="1">
      <alignment horizontal="right" vertical="center" wrapText="1" indent="1"/>
    </xf>
    <xf numFmtId="4" fontId="10" fillId="53" borderId="13" xfId="91" applyNumberFormat="1" applyFont="1" applyFill="1" applyBorder="1" applyAlignment="1">
      <alignment horizontal="right" vertical="center" wrapText="1" indent="1"/>
    </xf>
    <xf numFmtId="4" fontId="9" fillId="53" borderId="13" xfId="91" applyNumberFormat="1" applyFont="1" applyFill="1" applyBorder="1" applyAlignment="1">
      <alignment horizontal="right" vertical="center" wrapText="1" indent="1"/>
    </xf>
    <xf numFmtId="0" fontId="5" fillId="0" borderId="0" xfId="91" applyFont="1" applyAlignment="1">
      <alignment horizontal="left" indent="1"/>
    </xf>
    <xf numFmtId="0" fontId="3" fillId="0" borderId="0" xfId="91"/>
    <xf numFmtId="0" fontId="4" fillId="0" borderId="17" xfId="91" applyFont="1" applyBorder="1" applyAlignment="1">
      <alignment horizontal="left" wrapText="1" indent="1"/>
    </xf>
    <xf numFmtId="4" fontId="4" fillId="24" borderId="17" xfId="91" applyNumberFormat="1" applyFont="1" applyFill="1" applyBorder="1" applyAlignment="1">
      <alignment horizontal="right" vertical="center" wrapText="1" indent="1"/>
    </xf>
    <xf numFmtId="4" fontId="9" fillId="24" borderId="18" xfId="91" applyNumberFormat="1" applyFont="1" applyFill="1" applyBorder="1" applyAlignment="1">
      <alignment horizontal="right" vertical="center" wrapText="1" indent="1"/>
    </xf>
    <xf numFmtId="0" fontId="5" fillId="0" borderId="0" xfId="91" applyFont="1" applyAlignment="1">
      <alignment horizontal="center" vertical="center"/>
    </xf>
    <xf numFmtId="0" fontId="12" fillId="0" borderId="0" xfId="91" applyFont="1" applyAlignment="1">
      <alignment horizontal="center" vertical="center"/>
    </xf>
    <xf numFmtId="0" fontId="12" fillId="0" borderId="0" xfId="91" applyFont="1" applyAlignment="1">
      <alignment horizontal="left" indent="1"/>
    </xf>
    <xf numFmtId="0" fontId="12" fillId="0" borderId="0" xfId="91" applyFont="1"/>
    <xf numFmtId="4" fontId="5" fillId="0" borderId="0" xfId="91" applyNumberFormat="1" applyFont="1" applyBorder="1"/>
    <xf numFmtId="0" fontId="5" fillId="0" borderId="0" xfId="91" applyFont="1" applyBorder="1"/>
    <xf numFmtId="4" fontId="31" fillId="37" borderId="0" xfId="0" applyNumberFormat="1" applyFont="1" applyFill="1" applyBorder="1" applyAlignment="1">
      <alignment horizontal="left" vertical="center"/>
    </xf>
    <xf numFmtId="0" fontId="153" fillId="0" borderId="0" xfId="0" applyFont="1"/>
    <xf numFmtId="4" fontId="10" fillId="24" borderId="13" xfId="0" applyNumberFormat="1" applyFont="1" applyFill="1" applyBorder="1" applyAlignment="1">
      <alignment horizontal="right" vertical="center" wrapText="1" indent="1"/>
    </xf>
    <xf numFmtId="4" fontId="10" fillId="24" borderId="14" xfId="0" applyNumberFormat="1" applyFont="1" applyFill="1" applyBorder="1" applyAlignment="1">
      <alignment horizontal="right" vertical="center" wrapText="1" indent="1"/>
    </xf>
    <xf numFmtId="4" fontId="4" fillId="0" borderId="13" xfId="0" applyNumberFormat="1" applyFont="1" applyFill="1" applyBorder="1" applyAlignment="1">
      <alignment horizontal="center" vertical="center" wrapText="1"/>
    </xf>
    <xf numFmtId="4" fontId="5" fillId="0" borderId="13" xfId="0" applyNumberFormat="1" applyFont="1" applyFill="1" applyBorder="1" applyAlignment="1">
      <alignment horizontal="right" vertical="center" wrapText="1" indent="1"/>
    </xf>
    <xf numFmtId="4" fontId="5" fillId="0" borderId="14" xfId="0" applyNumberFormat="1" applyFont="1" applyFill="1" applyBorder="1" applyAlignment="1">
      <alignment horizontal="right" vertical="center" wrapText="1" indent="1"/>
    </xf>
    <xf numFmtId="0" fontId="5" fillId="42" borderId="0" xfId="0" applyFont="1" applyFill="1"/>
    <xf numFmtId="3" fontId="73" fillId="42" borderId="0" xfId="0" applyNumberFormat="1" applyFont="1" applyFill="1"/>
    <xf numFmtId="4" fontId="5" fillId="42" borderId="0" xfId="0" applyNumberFormat="1" applyFont="1" applyFill="1"/>
    <xf numFmtId="4" fontId="112" fillId="42" borderId="0" xfId="0" applyNumberFormat="1" applyFont="1" applyFill="1"/>
    <xf numFmtId="4" fontId="10" fillId="0" borderId="0" xfId="45" applyNumberFormat="1" applyFont="1" applyFill="1" applyBorder="1" applyAlignment="1">
      <alignment vertical="center" wrapText="1"/>
    </xf>
    <xf numFmtId="3" fontId="10" fillId="0" borderId="0" xfId="45" applyNumberFormat="1" applyFont="1" applyFill="1" applyBorder="1" applyAlignment="1">
      <alignment vertical="center" wrapText="1"/>
    </xf>
    <xf numFmtId="0" fontId="3" fillId="0" borderId="0" xfId="0" applyFont="1" applyBorder="1"/>
    <xf numFmtId="3" fontId="26" fillId="0" borderId="0" xfId="0" applyNumberFormat="1" applyFont="1" applyFill="1" applyBorder="1" applyAlignment="1">
      <alignment vertical="center"/>
    </xf>
    <xf numFmtId="4" fontId="5" fillId="42" borderId="54" xfId="91" applyNumberFormat="1" applyFont="1" applyFill="1" applyBorder="1" applyAlignment="1">
      <alignment horizontal="right" vertical="center" wrapText="1" indent="1"/>
    </xf>
    <xf numFmtId="0" fontId="102" fillId="0" borderId="0" xfId="0" applyFont="1" applyAlignment="1">
      <alignment horizontal="center" vertical="center" wrapText="1"/>
    </xf>
    <xf numFmtId="0" fontId="102" fillId="0" borderId="0" xfId="0" applyFont="1" applyAlignment="1">
      <alignment vertical="center" wrapText="1"/>
    </xf>
    <xf numFmtId="4" fontId="115" fillId="0" borderId="0" xfId="0" applyNumberFormat="1" applyFont="1" applyBorder="1" applyAlignment="1">
      <alignment horizontal="left" vertical="center"/>
    </xf>
    <xf numFmtId="2" fontId="102" fillId="0" borderId="0" xfId="0" applyNumberFormat="1" applyFont="1"/>
    <xf numFmtId="0" fontId="10" fillId="0" borderId="0" xfId="91" applyFont="1"/>
    <xf numFmtId="0" fontId="5" fillId="0" borderId="0" xfId="40" applyFont="1" applyAlignment="1">
      <alignment horizontal="center"/>
    </xf>
    <xf numFmtId="4" fontId="4" fillId="0" borderId="0" xfId="0" applyNumberFormat="1" applyFont="1"/>
    <xf numFmtId="4" fontId="5" fillId="0" borderId="0" xfId="0" applyNumberFormat="1" applyFont="1" applyFill="1"/>
    <xf numFmtId="4" fontId="5" fillId="0" borderId="0" xfId="0" applyNumberFormat="1" applyFont="1" applyAlignment="1"/>
    <xf numFmtId="4" fontId="5" fillId="0" borderId="19" xfId="0" applyNumberFormat="1" applyFont="1" applyFill="1" applyBorder="1" applyAlignment="1">
      <alignment horizontal="right" vertical="center" wrapText="1" indent="1"/>
    </xf>
    <xf numFmtId="2" fontId="102" fillId="0" borderId="0" xfId="0" applyNumberFormat="1" applyFont="1" applyFill="1"/>
    <xf numFmtId="0" fontId="10" fillId="0" borderId="13" xfId="91" applyFont="1" applyBorder="1" applyAlignment="1">
      <alignment horizontal="center" vertical="center" wrapText="1"/>
    </xf>
    <xf numFmtId="0" fontId="3" fillId="0" borderId="0" xfId="91"/>
    <xf numFmtId="0" fontId="9" fillId="0" borderId="13" xfId="91" applyFont="1" applyBorder="1"/>
    <xf numFmtId="49" fontId="10" fillId="0" borderId="13" xfId="91" applyNumberFormat="1" applyFont="1" applyBorder="1"/>
    <xf numFmtId="0" fontId="154" fillId="0" borderId="13" xfId="91" applyFont="1" applyBorder="1" applyAlignment="1">
      <alignment horizontal="center"/>
    </xf>
    <xf numFmtId="0" fontId="133" fillId="0" borderId="13" xfId="106" applyFont="1" applyBorder="1" applyAlignment="1">
      <alignment horizontal="center" vertical="center"/>
    </xf>
    <xf numFmtId="0" fontId="9" fillId="0" borderId="13" xfId="106" applyFont="1" applyBorder="1" applyAlignment="1">
      <alignment horizontal="center"/>
    </xf>
    <xf numFmtId="0" fontId="10" fillId="0" borderId="0" xfId="91" applyFont="1"/>
    <xf numFmtId="0" fontId="10" fillId="0" borderId="13" xfId="91" applyFont="1" applyBorder="1"/>
    <xf numFmtId="3" fontId="10" fillId="0" borderId="13" xfId="91" applyNumberFormat="1" applyFont="1" applyBorder="1"/>
    <xf numFmtId="3" fontId="26" fillId="0" borderId="13" xfId="91" applyNumberFormat="1" applyFont="1" applyBorder="1" applyAlignment="1">
      <alignment horizontal="right" vertical="center"/>
    </xf>
    <xf numFmtId="0" fontId="5" fillId="0" borderId="0" xfId="91" applyFont="1"/>
    <xf numFmtId="49" fontId="9" fillId="0" borderId="13" xfId="91" applyNumberFormat="1" applyFont="1" applyBorder="1"/>
    <xf numFmtId="3" fontId="9" fillId="0" borderId="13" xfId="91" applyNumberFormat="1" applyFont="1" applyBorder="1"/>
    <xf numFmtId="3" fontId="9" fillId="42" borderId="13" xfId="91" applyNumberFormat="1" applyFont="1" applyFill="1" applyBorder="1"/>
    <xf numFmtId="4" fontId="5" fillId="42" borderId="0" xfId="91" applyNumberFormat="1" applyFont="1" applyFill="1"/>
    <xf numFmtId="0" fontId="154" fillId="0" borderId="13" xfId="91" applyFont="1" applyBorder="1"/>
    <xf numFmtId="49" fontId="154" fillId="0" borderId="13" xfId="91" applyNumberFormat="1" applyFont="1" applyBorder="1"/>
    <xf numFmtId="3" fontId="156" fillId="0" borderId="13" xfId="91" applyNumberFormat="1" applyFont="1" applyBorder="1"/>
    <xf numFmtId="3" fontId="128" fillId="0" borderId="13" xfId="91" applyNumberFormat="1" applyFont="1" applyBorder="1"/>
    <xf numFmtId="0" fontId="78" fillId="0" borderId="0" xfId="91" applyFont="1"/>
    <xf numFmtId="0" fontId="78" fillId="0" borderId="0" xfId="91" applyFont="1"/>
    <xf numFmtId="0" fontId="157" fillId="0" borderId="0" xfId="91" applyFont="1"/>
    <xf numFmtId="0" fontId="157" fillId="0" borderId="0" xfId="91" applyFont="1"/>
    <xf numFmtId="3" fontId="117" fillId="0" borderId="13" xfId="91" applyNumberFormat="1" applyFont="1" applyBorder="1"/>
    <xf numFmtId="3" fontId="158" fillId="0" borderId="0" xfId="91" applyNumberFormat="1" applyFont="1"/>
    <xf numFmtId="0" fontId="158" fillId="0" borderId="0" xfId="91" applyFont="1"/>
    <xf numFmtId="0" fontId="6" fillId="0" borderId="0" xfId="91" applyFont="1"/>
    <xf numFmtId="3" fontId="4" fillId="0" borderId="0" xfId="40" applyNumberFormat="1" applyFont="1"/>
    <xf numFmtId="3" fontId="159" fillId="0" borderId="0" xfId="40" applyNumberFormat="1" applyFont="1"/>
    <xf numFmtId="0" fontId="159" fillId="0" borderId="0" xfId="40" applyFont="1"/>
    <xf numFmtId="0" fontId="160" fillId="0" borderId="0" xfId="91" applyFont="1"/>
    <xf numFmtId="0" fontId="77" fillId="0" borderId="0" xfId="91" applyFont="1"/>
    <xf numFmtId="14" fontId="160" fillId="0" borderId="0" xfId="91" applyNumberFormat="1" applyFont="1"/>
    <xf numFmtId="4" fontId="9" fillId="24" borderId="13" xfId="43" applyNumberFormat="1" applyFont="1" applyFill="1" applyBorder="1" applyAlignment="1">
      <alignment horizontal="right" vertical="center" wrapText="1" indent="1"/>
    </xf>
    <xf numFmtId="4" fontId="9" fillId="24" borderId="14" xfId="43" applyNumberFormat="1" applyFont="1" applyFill="1" applyBorder="1" applyAlignment="1">
      <alignment horizontal="right" vertical="center" wrapText="1" indent="1"/>
    </xf>
    <xf numFmtId="4" fontId="5" fillId="35" borderId="13" xfId="43" applyNumberFormat="1" applyFont="1" applyFill="1" applyBorder="1" applyAlignment="1">
      <alignment horizontal="right" vertical="center" wrapText="1" indent="1"/>
    </xf>
    <xf numFmtId="4" fontId="5" fillId="35" borderId="13" xfId="43" applyNumberFormat="1" applyFont="1" applyFill="1" applyBorder="1" applyAlignment="1">
      <alignment horizontal="center" vertical="center" wrapText="1"/>
    </xf>
    <xf numFmtId="4" fontId="9" fillId="24" borderId="14" xfId="43" applyNumberFormat="1" applyFont="1" applyFill="1" applyBorder="1" applyAlignment="1">
      <alignment horizontal="center" vertical="center" wrapText="1"/>
    </xf>
    <xf numFmtId="4" fontId="9" fillId="24" borderId="13" xfId="43" applyNumberFormat="1" applyFont="1" applyFill="1" applyBorder="1" applyAlignment="1">
      <alignment horizontal="center" vertical="center" wrapText="1"/>
    </xf>
    <xf numFmtId="4" fontId="5" fillId="35" borderId="19" xfId="43" applyNumberFormat="1" applyFont="1" applyFill="1" applyBorder="1" applyAlignment="1">
      <alignment horizontal="right" vertical="center" wrapText="1" indent="1"/>
    </xf>
    <xf numFmtId="4" fontId="4" fillId="24" borderId="17" xfId="43" applyNumberFormat="1" applyFont="1" applyFill="1" applyBorder="1" applyAlignment="1">
      <alignment horizontal="right" vertical="center" wrapText="1" indent="1"/>
    </xf>
    <xf numFmtId="4" fontId="9" fillId="24" borderId="17" xfId="43" applyNumberFormat="1" applyFont="1" applyFill="1" applyBorder="1" applyAlignment="1">
      <alignment horizontal="right" vertical="center" wrapText="1" indent="1"/>
    </xf>
    <xf numFmtId="4" fontId="9" fillId="24" borderId="18" xfId="43" applyNumberFormat="1" applyFont="1" applyFill="1" applyBorder="1" applyAlignment="1">
      <alignment horizontal="right" vertical="center" wrapText="1" indent="1"/>
    </xf>
    <xf numFmtId="4" fontId="5" fillId="35" borderId="13" xfId="0" applyNumberFormat="1" applyFont="1" applyFill="1" applyBorder="1" applyAlignment="1">
      <alignment horizontal="center" vertical="center" wrapText="1"/>
    </xf>
    <xf numFmtId="4" fontId="4" fillId="24" borderId="17" xfId="0" applyNumberFormat="1" applyFont="1" applyFill="1" applyBorder="1" applyAlignment="1" applyProtection="1">
      <alignment horizontal="right" vertical="center" wrapText="1" indent="1"/>
    </xf>
    <xf numFmtId="4" fontId="9" fillId="24" borderId="13" xfId="0" applyNumberFormat="1" applyFont="1" applyFill="1" applyBorder="1" applyAlignment="1">
      <alignment horizontal="right" vertical="center" indent="1"/>
    </xf>
    <xf numFmtId="4" fontId="9" fillId="24" borderId="14" xfId="0" applyNumberFormat="1" applyFont="1" applyFill="1" applyBorder="1" applyAlignment="1">
      <alignment horizontal="right" vertical="center" indent="1"/>
    </xf>
    <xf numFmtId="4" fontId="5" fillId="35" borderId="13" xfId="0" applyNumberFormat="1" applyFont="1" applyFill="1" applyBorder="1" applyAlignment="1">
      <alignment vertical="center"/>
    </xf>
    <xf numFmtId="4" fontId="129" fillId="24" borderId="13" xfId="0" applyNumberFormat="1" applyFont="1" applyFill="1" applyBorder="1" applyAlignment="1">
      <alignment horizontal="right" vertical="center" wrapText="1" indent="1"/>
    </xf>
    <xf numFmtId="4" fontId="129" fillId="24" borderId="14" xfId="0" applyNumberFormat="1" applyFont="1" applyFill="1" applyBorder="1" applyAlignment="1">
      <alignment horizontal="right" vertical="center" wrapText="1" indent="1"/>
    </xf>
    <xf numFmtId="4" fontId="9" fillId="24" borderId="13" xfId="0" applyNumberFormat="1" applyFont="1" applyFill="1" applyBorder="1" applyAlignment="1">
      <alignment vertical="center" wrapText="1"/>
    </xf>
    <xf numFmtId="4" fontId="102" fillId="42" borderId="13" xfId="0" applyNumberFormat="1" applyFont="1" applyFill="1" applyBorder="1" applyAlignment="1">
      <alignment horizontal="center" vertical="center" wrapText="1"/>
    </xf>
    <xf numFmtId="4" fontId="5" fillId="0" borderId="19" xfId="0" applyNumberFormat="1" applyFont="1" applyFill="1" applyBorder="1" applyAlignment="1">
      <alignment vertical="center" wrapText="1"/>
    </xf>
    <xf numFmtId="4" fontId="5" fillId="35" borderId="19" xfId="0" applyNumberFormat="1" applyFont="1" applyFill="1" applyBorder="1" applyAlignment="1">
      <alignment vertical="center" wrapText="1"/>
    </xf>
    <xf numFmtId="4" fontId="9" fillId="24" borderId="17" xfId="0" applyNumberFormat="1" applyFont="1" applyFill="1" applyBorder="1" applyAlignment="1">
      <alignment horizontal="right" vertical="center" indent="1"/>
    </xf>
    <xf numFmtId="4" fontId="9" fillId="24" borderId="18" xfId="0" applyNumberFormat="1" applyFont="1" applyFill="1" applyBorder="1" applyAlignment="1">
      <alignment horizontal="right" vertical="center" indent="1"/>
    </xf>
    <xf numFmtId="4" fontId="4" fillId="24" borderId="38" xfId="0" applyNumberFormat="1" applyFont="1" applyFill="1" applyBorder="1" applyAlignment="1">
      <alignment horizontal="right" vertical="center" wrapText="1" indent="1"/>
    </xf>
    <xf numFmtId="4" fontId="5" fillId="35" borderId="38" xfId="0" applyNumberFormat="1" applyFont="1" applyFill="1" applyBorder="1" applyAlignment="1">
      <alignment horizontal="right" vertical="center" wrapText="1" indent="1"/>
    </xf>
    <xf numFmtId="4" fontId="10" fillId="35" borderId="38" xfId="0" applyNumberFormat="1" applyFont="1" applyFill="1" applyBorder="1" applyAlignment="1">
      <alignment horizontal="right" vertical="center" wrapText="1" indent="1"/>
    </xf>
    <xf numFmtId="4" fontId="9" fillId="24" borderId="38" xfId="0" applyNumberFormat="1" applyFont="1" applyFill="1" applyBorder="1" applyAlignment="1">
      <alignment horizontal="right" vertical="center" wrapText="1" indent="1"/>
    </xf>
    <xf numFmtId="4" fontId="4" fillId="35" borderId="17" xfId="0" applyNumberFormat="1" applyFont="1" applyFill="1" applyBorder="1" applyAlignment="1">
      <alignment horizontal="right" vertical="center" wrapText="1" indent="1"/>
    </xf>
    <xf numFmtId="4" fontId="4" fillId="35" borderId="39" xfId="0" applyNumberFormat="1" applyFont="1" applyFill="1" applyBorder="1" applyAlignment="1">
      <alignment horizontal="right" vertical="center" wrapText="1" indent="1"/>
    </xf>
    <xf numFmtId="4" fontId="5" fillId="35" borderId="13" xfId="27" applyNumberFormat="1" applyFont="1" applyFill="1" applyBorder="1" applyAlignment="1">
      <alignment horizontal="right" vertical="center" wrapText="1" indent="1"/>
    </xf>
    <xf numFmtId="4" fontId="5" fillId="37" borderId="13" xfId="27" applyNumberFormat="1" applyFont="1" applyFill="1" applyBorder="1" applyAlignment="1">
      <alignment horizontal="right" vertical="center" wrapText="1" indent="1"/>
    </xf>
    <xf numFmtId="4" fontId="9" fillId="37" borderId="20" xfId="0" applyNumberFormat="1" applyFont="1" applyFill="1" applyBorder="1" applyAlignment="1">
      <alignment horizontal="right" vertical="center" wrapText="1" indent="1"/>
    </xf>
    <xf numFmtId="3" fontId="5" fillId="24" borderId="17" xfId="0" applyNumberFormat="1" applyFont="1" applyFill="1" applyBorder="1" applyAlignment="1">
      <alignment horizontal="right" vertical="center" wrapText="1" indent="1"/>
    </xf>
    <xf numFmtId="3" fontId="10" fillId="35" borderId="13" xfId="40" applyNumberFormat="1" applyFont="1" applyFill="1" applyBorder="1" applyAlignment="1">
      <alignment horizontal="right" vertical="center" wrapText="1" indent="1"/>
    </xf>
    <xf numFmtId="3" fontId="10" fillId="35" borderId="38" xfId="40" applyNumberFormat="1" applyFont="1" applyFill="1" applyBorder="1" applyAlignment="1">
      <alignment horizontal="right" vertical="center" wrapText="1" indent="1"/>
    </xf>
    <xf numFmtId="4" fontId="85" fillId="39" borderId="13" xfId="0" applyNumberFormat="1" applyFont="1" applyFill="1" applyBorder="1" applyAlignment="1">
      <alignment vertical="center" wrapText="1"/>
    </xf>
    <xf numFmtId="4" fontId="85" fillId="40" borderId="13" xfId="0" applyNumberFormat="1" applyFont="1" applyFill="1" applyBorder="1" applyAlignment="1">
      <alignment vertical="center" wrapText="1"/>
    </xf>
    <xf numFmtId="4" fontId="85" fillId="35" borderId="13" xfId="0" applyNumberFormat="1" applyFont="1" applyFill="1" applyBorder="1" applyAlignment="1">
      <alignment vertical="center" wrapText="1"/>
    </xf>
    <xf numFmtId="4" fontId="85" fillId="24" borderId="13" xfId="0" applyNumberFormat="1" applyFont="1" applyFill="1" applyBorder="1" applyAlignment="1">
      <alignment vertical="center" wrapText="1"/>
    </xf>
    <xf numFmtId="4" fontId="85" fillId="40" borderId="14" xfId="0" applyNumberFormat="1" applyFont="1" applyFill="1" applyBorder="1" applyAlignment="1">
      <alignment vertical="center" wrapText="1"/>
    </xf>
    <xf numFmtId="4" fontId="73" fillId="39" borderId="13" xfId="0" applyNumberFormat="1" applyFont="1" applyFill="1" applyBorder="1" applyAlignment="1">
      <alignment vertical="center" wrapText="1"/>
    </xf>
    <xf numFmtId="4" fontId="73" fillId="35" borderId="13" xfId="0" applyNumberFormat="1" applyFont="1" applyFill="1" applyBorder="1" applyAlignment="1">
      <alignment vertical="center" wrapText="1"/>
    </xf>
    <xf numFmtId="4" fontId="85" fillId="0" borderId="13" xfId="0" applyNumberFormat="1" applyFont="1" applyFill="1" applyBorder="1" applyAlignment="1">
      <alignment horizontal="center" vertical="center" wrapText="1"/>
    </xf>
    <xf numFmtId="4" fontId="73" fillId="39" borderId="13" xfId="0" applyNumberFormat="1" applyFont="1" applyFill="1" applyBorder="1" applyAlignment="1">
      <alignment vertical="top" wrapText="1"/>
    </xf>
    <xf numFmtId="4" fontId="108" fillId="0" borderId="13" xfId="0" applyNumberFormat="1" applyFont="1" applyFill="1" applyBorder="1" applyAlignment="1">
      <alignment horizontal="center" vertical="center" wrapText="1"/>
    </xf>
    <xf numFmtId="4" fontId="109" fillId="39" borderId="13" xfId="0" applyNumberFormat="1" applyFont="1" applyFill="1" applyBorder="1" applyAlignment="1">
      <alignment vertical="center" wrapText="1"/>
    </xf>
    <xf numFmtId="4" fontId="122" fillId="41" borderId="13" xfId="0" applyNumberFormat="1" applyFont="1" applyFill="1" applyBorder="1" applyAlignment="1">
      <alignment horizontal="center" vertical="center" wrapText="1"/>
    </xf>
    <xf numFmtId="4" fontId="85" fillId="41" borderId="13" xfId="0" applyNumberFormat="1" applyFont="1" applyFill="1" applyBorder="1" applyAlignment="1">
      <alignment horizontal="center" vertical="center" wrapText="1"/>
    </xf>
    <xf numFmtId="4" fontId="108" fillId="41" borderId="13" xfId="0" applyNumberFormat="1" applyFont="1" applyFill="1" applyBorder="1" applyAlignment="1">
      <alignment horizontal="center" vertical="center" wrapText="1"/>
    </xf>
    <xf numFmtId="4" fontId="73" fillId="39" borderId="17" xfId="0" applyNumberFormat="1" applyFont="1" applyFill="1" applyBorder="1" applyAlignment="1">
      <alignment vertical="center"/>
    </xf>
    <xf numFmtId="4" fontId="73" fillId="35" borderId="17" xfId="0" applyNumberFormat="1" applyFont="1" applyFill="1" applyBorder="1" applyAlignment="1">
      <alignment vertical="center"/>
    </xf>
    <xf numFmtId="4" fontId="85" fillId="40" borderId="17" xfId="0" applyNumberFormat="1" applyFont="1" applyFill="1" applyBorder="1" applyAlignment="1">
      <alignment vertical="center" wrapText="1"/>
    </xf>
    <xf numFmtId="4" fontId="85" fillId="40" borderId="18" xfId="0" applyNumberFormat="1" applyFont="1" applyFill="1" applyBorder="1" applyAlignment="1">
      <alignment vertical="center" wrapText="1"/>
    </xf>
    <xf numFmtId="4" fontId="10" fillId="35" borderId="19" xfId="0" applyNumberFormat="1" applyFont="1" applyFill="1" applyBorder="1" applyAlignment="1">
      <alignment horizontal="right" vertical="center" wrapText="1" indent="1"/>
    </xf>
    <xf numFmtId="4" fontId="4" fillId="0" borderId="14" xfId="0" applyNumberFormat="1" applyFont="1" applyFill="1" applyBorder="1" applyAlignment="1">
      <alignment horizontal="right" vertical="center" wrapText="1" indent="1"/>
    </xf>
    <xf numFmtId="4" fontId="9" fillId="24" borderId="19" xfId="0" applyNumberFormat="1" applyFont="1" applyFill="1" applyBorder="1" applyAlignment="1">
      <alignment horizontal="right" vertical="center" wrapText="1" indent="1"/>
    </xf>
    <xf numFmtId="4" fontId="10" fillId="35" borderId="29" xfId="104" applyNumberFormat="1" applyFont="1" applyFill="1" applyBorder="1" applyAlignment="1">
      <alignment horizontal="right" vertical="center" wrapText="1" indent="1"/>
    </xf>
    <xf numFmtId="4" fontId="10" fillId="35" borderId="37" xfId="104" applyNumberFormat="1" applyFont="1" applyFill="1" applyBorder="1" applyAlignment="1">
      <alignment horizontal="right" vertical="center" wrapText="1" indent="1"/>
    </xf>
    <xf numFmtId="4" fontId="4" fillId="24" borderId="45" xfId="0" applyNumberFormat="1" applyFont="1" applyFill="1" applyBorder="1" applyAlignment="1">
      <alignment horizontal="right" vertical="center" wrapText="1" indent="1"/>
    </xf>
    <xf numFmtId="4" fontId="10" fillId="35" borderId="13" xfId="104" applyNumberFormat="1" applyFont="1" applyFill="1" applyBorder="1" applyAlignment="1">
      <alignment horizontal="right" vertical="center" wrapText="1" indent="1"/>
    </xf>
    <xf numFmtId="4" fontId="10" fillId="35" borderId="20" xfId="104" applyNumberFormat="1" applyFont="1" applyFill="1" applyBorder="1" applyAlignment="1">
      <alignment horizontal="right" vertical="center" wrapText="1" indent="1"/>
    </xf>
    <xf numFmtId="4" fontId="10" fillId="35" borderId="35" xfId="104" applyNumberFormat="1" applyFont="1" applyFill="1" applyBorder="1" applyAlignment="1">
      <alignment horizontal="right" vertical="center" wrapText="1" indent="1"/>
    </xf>
    <xf numFmtId="4" fontId="4" fillId="24" borderId="37" xfId="0" applyNumberFormat="1" applyFont="1" applyFill="1" applyBorder="1" applyAlignment="1">
      <alignment horizontal="right" vertical="center" wrapText="1" indent="1"/>
    </xf>
    <xf numFmtId="4" fontId="4" fillId="24" borderId="20" xfId="0" applyNumberFormat="1" applyFont="1" applyFill="1" applyBorder="1" applyAlignment="1">
      <alignment horizontal="right" vertical="center" wrapText="1" indent="1"/>
    </xf>
    <xf numFmtId="4" fontId="4" fillId="24" borderId="55" xfId="0" applyNumberFormat="1" applyFont="1" applyFill="1" applyBorder="1" applyAlignment="1">
      <alignment horizontal="right" vertical="center" wrapText="1" indent="1"/>
    </xf>
    <xf numFmtId="4" fontId="4" fillId="24" borderId="67" xfId="0" applyNumberFormat="1" applyFont="1" applyFill="1" applyBorder="1" applyAlignment="1">
      <alignment horizontal="right" vertical="center" wrapText="1" indent="1"/>
    </xf>
    <xf numFmtId="4" fontId="4" fillId="24" borderId="43" xfId="0" applyNumberFormat="1" applyFont="1" applyFill="1" applyBorder="1" applyAlignment="1">
      <alignment horizontal="right" vertical="center" wrapText="1" indent="1"/>
    </xf>
    <xf numFmtId="4" fontId="4" fillId="24" borderId="44" xfId="0" applyNumberFormat="1" applyFont="1" applyFill="1" applyBorder="1" applyAlignment="1">
      <alignment horizontal="right" vertical="center" wrapText="1" indent="1"/>
    </xf>
    <xf numFmtId="4" fontId="4" fillId="24" borderId="53" xfId="0" applyNumberFormat="1" applyFont="1" applyFill="1" applyBorder="1" applyAlignment="1">
      <alignment horizontal="right" vertical="center" wrapText="1" indent="1"/>
    </xf>
    <xf numFmtId="4" fontId="4" fillId="24" borderId="66" xfId="0" applyNumberFormat="1" applyFont="1" applyFill="1" applyBorder="1" applyAlignment="1">
      <alignment horizontal="right" vertical="center" wrapText="1" indent="1"/>
    </xf>
    <xf numFmtId="0" fontId="162" fillId="0" borderId="0" xfId="0" applyFont="1" applyFill="1" applyBorder="1" applyAlignment="1"/>
    <xf numFmtId="4" fontId="4" fillId="0" borderId="0" xfId="0" applyNumberFormat="1" applyFont="1" applyFill="1" applyBorder="1" applyAlignment="1">
      <alignment horizontal="center" vertical="center"/>
    </xf>
    <xf numFmtId="0" fontId="163" fillId="0" borderId="0" xfId="0" applyFont="1" applyFill="1" applyBorder="1" applyAlignment="1">
      <alignment horizontal="left" vertical="center"/>
    </xf>
    <xf numFmtId="0" fontId="146" fillId="0" borderId="0" xfId="0" applyFont="1" applyFill="1" applyBorder="1"/>
    <xf numFmtId="0" fontId="146" fillId="0" borderId="0" xfId="0" applyFont="1" applyFill="1" applyBorder="1" applyAlignment="1">
      <alignment vertical="center"/>
    </xf>
    <xf numFmtId="4" fontId="5" fillId="0" borderId="0" xfId="0" applyNumberFormat="1" applyFont="1" applyFill="1" applyBorder="1"/>
    <xf numFmtId="4" fontId="5" fillId="0" borderId="0" xfId="0" applyNumberFormat="1" applyFont="1" applyFill="1" applyBorder="1" applyAlignment="1">
      <alignment vertical="center"/>
    </xf>
    <xf numFmtId="0" fontId="146" fillId="42" borderId="0" xfId="0" applyFont="1" applyFill="1" applyBorder="1"/>
    <xf numFmtId="0" fontId="5" fillId="42" borderId="0" xfId="0" applyFont="1" applyFill="1" applyBorder="1"/>
    <xf numFmtId="49" fontId="144" fillId="0" borderId="0" xfId="0" applyNumberFormat="1" applyFont="1" applyBorder="1" applyAlignment="1">
      <alignment horizontal="left" vertical="center" wrapText="1" indent="1"/>
    </xf>
    <xf numFmtId="4" fontId="146" fillId="0" borderId="0" xfId="0" applyNumberFormat="1" applyFont="1" applyAlignment="1">
      <alignment vertical="center" wrapText="1"/>
    </xf>
    <xf numFmtId="0" fontId="26" fillId="0" borderId="0" xfId="0" applyFont="1" applyFill="1" applyBorder="1" applyAlignment="1">
      <alignment horizontal="right" vertical="center"/>
    </xf>
    <xf numFmtId="4" fontId="26" fillId="0" borderId="0" xfId="0" applyNumberFormat="1" applyFont="1" applyFill="1" applyBorder="1" applyAlignment="1">
      <alignment vertical="center"/>
    </xf>
    <xf numFmtId="166" fontId="134" fillId="0" borderId="0" xfId="0" applyNumberFormat="1" applyFont="1" applyFill="1" applyBorder="1" applyAlignment="1">
      <alignment vertical="center"/>
    </xf>
    <xf numFmtId="49" fontId="142" fillId="0" borderId="0" xfId="0" applyNumberFormat="1" applyFont="1" applyFill="1" applyAlignment="1">
      <alignment horizontal="left" vertical="top" wrapText="1"/>
    </xf>
    <xf numFmtId="49" fontId="142" fillId="0" borderId="0" xfId="0" applyNumberFormat="1" applyFont="1" applyFill="1" applyAlignment="1">
      <alignment wrapText="1"/>
    </xf>
    <xf numFmtId="49" fontId="142" fillId="0" borderId="0" xfId="0" applyNumberFormat="1" applyFont="1" applyFill="1" applyAlignment="1">
      <alignment horizontal="left" wrapText="1"/>
    </xf>
    <xf numFmtId="4" fontId="5" fillId="0" borderId="65" xfId="0" applyNumberFormat="1" applyFont="1" applyFill="1" applyBorder="1" applyAlignment="1">
      <alignment vertical="center" wrapText="1"/>
    </xf>
    <xf numFmtId="0" fontId="5" fillId="0" borderId="59" xfId="0" applyFont="1" applyFill="1" applyBorder="1" applyAlignment="1">
      <alignment vertical="center" wrapText="1"/>
    </xf>
    <xf numFmtId="4" fontId="102" fillId="0" borderId="0" xfId="0" applyNumberFormat="1" applyFont="1" applyFill="1" applyAlignment="1">
      <alignment vertical="center" wrapText="1"/>
    </xf>
    <xf numFmtId="4" fontId="10" fillId="0" borderId="0" xfId="103" applyNumberFormat="1" applyFont="1" applyFill="1" applyBorder="1" applyAlignment="1">
      <alignment vertical="center" wrapText="1"/>
    </xf>
    <xf numFmtId="4" fontId="26" fillId="0" borderId="0" xfId="103" applyNumberFormat="1" applyFont="1" applyFill="1" applyBorder="1" applyAlignment="1">
      <alignment vertical="center" wrapText="1"/>
    </xf>
    <xf numFmtId="4" fontId="5" fillId="35" borderId="28" xfId="0" applyNumberFormat="1" applyFont="1" applyFill="1" applyBorder="1" applyAlignment="1">
      <alignment horizontal="right" vertical="center" wrapText="1" indent="1"/>
    </xf>
    <xf numFmtId="3" fontId="10" fillId="0" borderId="0" xfId="0" applyNumberFormat="1" applyFont="1" applyFill="1" applyBorder="1" applyAlignment="1">
      <alignment horizontal="right" vertical="center" wrapText="1" indent="1"/>
    </xf>
    <xf numFmtId="4" fontId="5" fillId="0" borderId="0" xfId="0" applyNumberFormat="1" applyFont="1" applyFill="1" applyBorder="1" applyAlignment="1">
      <alignment horizontal="right" vertical="center" wrapText="1" indent="1"/>
    </xf>
    <xf numFmtId="4" fontId="10" fillId="0" borderId="0" xfId="0" applyNumberFormat="1" applyFont="1" applyFill="1" applyBorder="1" applyAlignment="1">
      <alignment horizontal="right" vertical="center" wrapText="1" indent="1"/>
    </xf>
    <xf numFmtId="0" fontId="111" fillId="0" borderId="0" xfId="0" applyFont="1" applyFill="1"/>
    <xf numFmtId="0" fontId="4" fillId="0" borderId="0" xfId="0" applyFont="1" applyFill="1"/>
    <xf numFmtId="0" fontId="130" fillId="0" borderId="0" xfId="0" applyFont="1" applyFill="1"/>
    <xf numFmtId="3" fontId="102" fillId="0" borderId="0" xfId="0" applyNumberFormat="1" applyFont="1" applyFill="1"/>
    <xf numFmtId="3" fontId="130" fillId="0" borderId="0" xfId="0" applyNumberFormat="1" applyFont="1" applyFill="1"/>
    <xf numFmtId="0" fontId="78" fillId="0" borderId="0" xfId="0" applyFont="1" applyFill="1"/>
    <xf numFmtId="0" fontId="102" fillId="0" borderId="0" xfId="0" applyFont="1" applyFill="1" applyAlignment="1">
      <alignment vertical="center"/>
    </xf>
    <xf numFmtId="0" fontId="5" fillId="0" borderId="0" xfId="0" applyFont="1" applyFill="1" applyAlignment="1">
      <alignment horizontal="justify"/>
    </xf>
    <xf numFmtId="3" fontId="145" fillId="0" borderId="0" xfId="0" applyNumberFormat="1" applyFont="1" applyFill="1" applyAlignment="1">
      <alignment horizontal="left"/>
    </xf>
    <xf numFmtId="0" fontId="145" fillId="0" borderId="0" xfId="0" applyFont="1" applyFill="1"/>
    <xf numFmtId="4" fontId="144" fillId="0" borderId="0" xfId="0" applyNumberFormat="1" applyFont="1" applyFill="1"/>
    <xf numFmtId="3" fontId="130" fillId="0" borderId="0" xfId="0" applyNumberFormat="1" applyFont="1" applyFill="1" applyAlignment="1">
      <alignment horizontal="left"/>
    </xf>
    <xf numFmtId="4" fontId="142" fillId="0" borderId="0" xfId="0" applyNumberFormat="1" applyFont="1" applyFill="1"/>
    <xf numFmtId="0" fontId="5" fillId="0" borderId="0" xfId="0" applyFont="1" applyFill="1" applyAlignment="1">
      <alignment vertical="center"/>
    </xf>
    <xf numFmtId="0" fontId="131" fillId="0" borderId="0" xfId="0" applyFont="1" applyFill="1"/>
    <xf numFmtId="0" fontId="144" fillId="0" borderId="0" xfId="0" applyFont="1" applyFill="1"/>
    <xf numFmtId="0" fontId="146" fillId="0" borderId="0" xfId="0" applyFont="1" applyFill="1"/>
    <xf numFmtId="4" fontId="146" fillId="0" borderId="0" xfId="0" applyNumberFormat="1" applyFont="1" applyFill="1"/>
    <xf numFmtId="2" fontId="144" fillId="0" borderId="0" xfId="0" applyNumberFormat="1" applyFont="1" applyFill="1"/>
    <xf numFmtId="4" fontId="111" fillId="0" borderId="0" xfId="0" applyNumberFormat="1" applyFont="1" applyFill="1"/>
    <xf numFmtId="2" fontId="5" fillId="0" borderId="0" xfId="0" applyNumberFormat="1" applyFont="1" applyFill="1"/>
    <xf numFmtId="4" fontId="148" fillId="0" borderId="0" xfId="0" applyNumberFormat="1" applyFont="1" applyFill="1"/>
    <xf numFmtId="0" fontId="148" fillId="0" borderId="0" xfId="0" applyFont="1" applyFill="1"/>
    <xf numFmtId="1" fontId="5" fillId="0" borderId="0" xfId="0" applyNumberFormat="1" applyFont="1" applyFill="1"/>
    <xf numFmtId="2" fontId="146" fillId="0" borderId="0" xfId="0" applyNumberFormat="1" applyFont="1" applyFill="1"/>
    <xf numFmtId="2" fontId="145" fillId="0" borderId="0" xfId="0" applyNumberFormat="1" applyFont="1" applyFill="1"/>
    <xf numFmtId="0" fontId="10" fillId="0" borderId="0" xfId="0" applyFont="1" applyFill="1"/>
    <xf numFmtId="0" fontId="102" fillId="0" borderId="0" xfId="0" applyFont="1" applyFill="1" applyAlignment="1">
      <alignment vertical="center" wrapText="1"/>
    </xf>
    <xf numFmtId="3" fontId="5" fillId="0" borderId="0" xfId="0" applyNumberFormat="1" applyFont="1" applyFill="1" applyAlignment="1">
      <alignment vertical="center" wrapText="1"/>
    </xf>
    <xf numFmtId="0" fontId="5" fillId="0" borderId="0" xfId="91" applyFont="1" applyFill="1"/>
    <xf numFmtId="4" fontId="5" fillId="0" borderId="0" xfId="91" applyNumberFormat="1" applyFont="1" applyFill="1"/>
    <xf numFmtId="0" fontId="10" fillId="0" borderId="52" xfId="0" applyFont="1" applyBorder="1" applyAlignment="1">
      <alignment wrapText="1"/>
    </xf>
    <xf numFmtId="0" fontId="10" fillId="0" borderId="27" xfId="0" applyFont="1" applyBorder="1" applyAlignment="1">
      <alignment wrapText="1"/>
    </xf>
    <xf numFmtId="0" fontId="10" fillId="0" borderId="0" xfId="0" applyFont="1" applyBorder="1" applyAlignment="1">
      <alignment horizontal="left" wrapText="1"/>
    </xf>
    <xf numFmtId="0" fontId="10" fillId="0" borderId="49" xfId="0" applyFont="1" applyBorder="1" applyAlignment="1">
      <alignment horizontal="left" wrapText="1"/>
    </xf>
    <xf numFmtId="0" fontId="10" fillId="0" borderId="52" xfId="0" applyFont="1" applyBorder="1" applyAlignment="1">
      <alignment horizontal="left" wrapText="1"/>
    </xf>
    <xf numFmtId="0" fontId="10" fillId="0" borderId="27" xfId="0" applyFont="1" applyBorder="1" applyAlignment="1">
      <alignment horizontal="left" wrapText="1"/>
    </xf>
    <xf numFmtId="0" fontId="10" fillId="0" borderId="23" xfId="35" applyFont="1" applyBorder="1" applyAlignment="1" applyProtection="1">
      <alignment horizontal="left" vertical="center" indent="1"/>
    </xf>
    <xf numFmtId="0" fontId="10" fillId="0" borderId="60" xfId="35" applyFont="1" applyBorder="1" applyAlignment="1" applyProtection="1">
      <alignment horizontal="left" vertical="center" indent="1"/>
    </xf>
    <xf numFmtId="0" fontId="14" fillId="47" borderId="68" xfId="0" applyFont="1" applyFill="1" applyBorder="1" applyAlignment="1">
      <alignment horizontal="center" vertical="center" wrapText="1"/>
    </xf>
    <xf numFmtId="0" fontId="84" fillId="47" borderId="69" xfId="0" applyFont="1" applyFill="1" applyBorder="1" applyAlignment="1">
      <alignment horizontal="center" vertical="center" wrapText="1"/>
    </xf>
    <xf numFmtId="0" fontId="84" fillId="47" borderId="70"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65"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6" fillId="0" borderId="30" xfId="0" applyFont="1" applyBorder="1" applyAlignment="1">
      <alignment horizontal="center" vertical="center" wrapText="1"/>
    </xf>
    <xf numFmtId="0" fontId="77" fillId="0" borderId="31" xfId="0" applyFont="1" applyBorder="1"/>
    <xf numFmtId="0" fontId="77" fillId="0" borderId="36" xfId="0" applyFont="1" applyBorder="1"/>
    <xf numFmtId="0" fontId="9" fillId="0" borderId="77" xfId="0" applyFont="1" applyBorder="1" applyAlignment="1">
      <alignment horizontal="left" vertical="center" wrapText="1" indent="1"/>
    </xf>
    <xf numFmtId="0" fontId="9" fillId="0" borderId="50" xfId="0" applyFont="1" applyBorder="1" applyAlignment="1">
      <alignment horizontal="left" vertical="center" wrapText="1" indent="1"/>
    </xf>
    <xf numFmtId="0" fontId="9" fillId="0" borderId="54" xfId="0" applyFont="1" applyBorder="1" applyAlignment="1">
      <alignment horizontal="left" vertical="center" wrapText="1" indent="1"/>
    </xf>
    <xf numFmtId="0" fontId="14" fillId="0" borderId="30" xfId="91" applyFont="1" applyBorder="1" applyAlignment="1">
      <alignment horizontal="center" vertical="center" wrapText="1"/>
    </xf>
    <xf numFmtId="0" fontId="14" fillId="0" borderId="31" xfId="91" applyFont="1" applyBorder="1" applyAlignment="1">
      <alignment horizontal="center" vertical="center" wrapText="1"/>
    </xf>
    <xf numFmtId="0" fontId="14" fillId="0" borderId="36" xfId="91" applyFont="1" applyBorder="1" applyAlignment="1">
      <alignment horizontal="center" vertical="center" wrapText="1"/>
    </xf>
    <xf numFmtId="49" fontId="102" fillId="0" borderId="35" xfId="0" applyNumberFormat="1" applyFont="1" applyBorder="1" applyAlignment="1">
      <alignment horizontal="left" wrapText="1"/>
    </xf>
    <xf numFmtId="49" fontId="102" fillId="0" borderId="46" xfId="0" applyNumberFormat="1" applyFont="1" applyBorder="1" applyAlignment="1">
      <alignment horizontal="left" wrapText="1"/>
    </xf>
    <xf numFmtId="49" fontId="102" fillId="0" borderId="47" xfId="0" applyNumberFormat="1" applyFont="1" applyBorder="1" applyAlignment="1">
      <alignment horizontal="left" wrapText="1"/>
    </xf>
    <xf numFmtId="49" fontId="5" fillId="0" borderId="37" xfId="0" applyNumberFormat="1" applyFont="1" applyBorder="1" applyAlignment="1">
      <alignment horizontal="left" wrapText="1"/>
    </xf>
    <xf numFmtId="49" fontId="5" fillId="0" borderId="50" xfId="0" applyNumberFormat="1" applyFont="1" applyBorder="1" applyAlignment="1">
      <alignment horizontal="left" wrapText="1"/>
    </xf>
    <xf numFmtId="49" fontId="5" fillId="0" borderId="32" xfId="0" applyNumberFormat="1" applyFont="1" applyBorder="1" applyAlignment="1">
      <alignment horizontal="left"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6" xfId="0" applyFont="1" applyBorder="1" applyAlignment="1">
      <alignment horizontal="center" vertical="center"/>
    </xf>
    <xf numFmtId="0" fontId="4" fillId="0" borderId="15" xfId="0"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38" xfId="0" applyFont="1" applyBorder="1" applyAlignment="1">
      <alignment horizontal="center" vertical="center"/>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6" xfId="0" applyFont="1" applyBorder="1" applyAlignment="1">
      <alignment horizontal="center" vertical="center" wrapText="1"/>
    </xf>
    <xf numFmtId="49" fontId="78" fillId="42" borderId="0" xfId="0" applyNumberFormat="1" applyFont="1" applyFill="1" applyAlignment="1">
      <alignment horizontal="center" vertical="top" wrapText="1"/>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9" fillId="0" borderId="61" xfId="0" applyFont="1" applyBorder="1" applyAlignment="1">
      <alignment horizontal="left" vertical="center" wrapText="1" indent="1"/>
    </xf>
    <xf numFmtId="0" fontId="9" fillId="0" borderId="74" xfId="0" applyFont="1" applyBorder="1" applyAlignment="1">
      <alignment horizontal="left" vertical="center" wrapText="1" indent="1"/>
    </xf>
    <xf numFmtId="0" fontId="9" fillId="0" borderId="41" xfId="0" applyFont="1" applyBorder="1" applyAlignment="1">
      <alignment horizontal="left" vertical="center" wrapText="1" indent="1"/>
    </xf>
    <xf numFmtId="0" fontId="6" fillId="0" borderId="13" xfId="0" applyFont="1" applyBorder="1" applyAlignment="1">
      <alignment horizontal="center" vertical="center"/>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0" xfId="0" applyFont="1" applyBorder="1" applyAlignment="1">
      <alignment horizontal="center" vertical="center" wrapText="1"/>
    </xf>
    <xf numFmtId="49" fontId="5" fillId="0" borderId="20" xfId="0" applyNumberFormat="1" applyFont="1" applyBorder="1" applyAlignment="1">
      <alignment horizontal="left"/>
    </xf>
    <xf numFmtId="49" fontId="5" fillId="0" borderId="52" xfId="0" applyNumberFormat="1" applyFont="1" applyBorder="1" applyAlignment="1">
      <alignment horizontal="left"/>
    </xf>
    <xf numFmtId="49" fontId="5" fillId="0" borderId="27" xfId="0" applyNumberFormat="1" applyFont="1" applyBorder="1" applyAlignment="1">
      <alignment horizontal="left"/>
    </xf>
    <xf numFmtId="0" fontId="4" fillId="0" borderId="29" xfId="0" applyFont="1" applyBorder="1" applyAlignment="1">
      <alignment horizontal="center" vertical="center" wrapText="1"/>
    </xf>
    <xf numFmtId="0" fontId="4" fillId="36" borderId="29"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9" fillId="0" borderId="57" xfId="0" applyFont="1" applyBorder="1" applyAlignment="1">
      <alignment horizontal="center" vertical="center" wrapText="1"/>
    </xf>
    <xf numFmtId="0" fontId="9" fillId="0" borderId="45" xfId="0" applyFont="1" applyBorder="1" applyAlignment="1">
      <alignment horizontal="center" vertical="center" wrapText="1"/>
    </xf>
    <xf numFmtId="0" fontId="103" fillId="0" borderId="0" xfId="0" applyFont="1" applyAlignment="1">
      <alignment horizontal="left" vertical="center" wrapText="1"/>
    </xf>
    <xf numFmtId="0" fontId="4" fillId="0" borderId="13" xfId="0" applyFont="1" applyBorder="1" applyAlignment="1">
      <alignment horizontal="center" vertical="center" wrapText="1"/>
    </xf>
    <xf numFmtId="49" fontId="10" fillId="0" borderId="20" xfId="0" applyNumberFormat="1" applyFont="1" applyBorder="1" applyAlignment="1">
      <alignment horizontal="left"/>
    </xf>
    <xf numFmtId="49" fontId="10" fillId="0" borderId="52" xfId="0" applyNumberFormat="1" applyFont="1" applyBorder="1" applyAlignment="1">
      <alignment horizontal="left"/>
    </xf>
    <xf numFmtId="49" fontId="10" fillId="0" borderId="27" xfId="0" applyNumberFormat="1" applyFont="1" applyBorder="1" applyAlignment="1">
      <alignment horizontal="left"/>
    </xf>
    <xf numFmtId="49" fontId="4" fillId="0" borderId="13" xfId="0" applyNumberFormat="1" applyFont="1" applyBorder="1" applyAlignment="1">
      <alignment horizontal="center" vertical="center" wrapText="1"/>
    </xf>
    <xf numFmtId="0" fontId="4" fillId="0" borderId="22"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111" fillId="0" borderId="12" xfId="40" applyFont="1" applyBorder="1" applyAlignment="1">
      <alignment horizontal="center" vertical="center" wrapText="1"/>
    </xf>
    <xf numFmtId="0" fontId="111" fillId="0" borderId="77" xfId="40" applyFont="1" applyBorder="1" applyAlignment="1">
      <alignment horizontal="center" vertical="center" wrapText="1"/>
    </xf>
    <xf numFmtId="0" fontId="111" fillId="0" borderId="57" xfId="40" applyFont="1" applyBorder="1" applyAlignment="1">
      <alignment horizontal="center" vertical="center" wrapText="1"/>
    </xf>
    <xf numFmtId="0" fontId="111" fillId="0" borderId="45" xfId="40" applyFont="1" applyBorder="1" applyAlignment="1">
      <alignment horizontal="center" vertical="center" wrapText="1"/>
    </xf>
    <xf numFmtId="0" fontId="9" fillId="0" borderId="65" xfId="41" applyFont="1" applyBorder="1" applyAlignment="1">
      <alignment horizontal="center" vertical="center"/>
    </xf>
    <xf numFmtId="0" fontId="9" fillId="0" borderId="58" xfId="41" applyFont="1" applyBorder="1" applyAlignment="1">
      <alignment horizontal="center" vertical="center"/>
    </xf>
    <xf numFmtId="0" fontId="9" fillId="0" borderId="59" xfId="41" applyFont="1" applyBorder="1" applyAlignment="1">
      <alignment horizontal="center" vertical="center"/>
    </xf>
    <xf numFmtId="0" fontId="99" fillId="0" borderId="68" xfId="41" applyFont="1" applyBorder="1" applyAlignment="1">
      <alignment horizontal="left" vertical="center" wrapText="1" indent="1"/>
    </xf>
    <xf numFmtId="0" fontId="99" fillId="0" borderId="69" xfId="41" applyFont="1" applyBorder="1" applyAlignment="1">
      <alignment horizontal="left" vertical="center" wrapText="1" indent="1"/>
    </xf>
    <xf numFmtId="0" fontId="99" fillId="0" borderId="70" xfId="41" applyFont="1" applyBorder="1" applyAlignment="1">
      <alignment horizontal="left" vertical="center" wrapText="1" indent="1"/>
    </xf>
    <xf numFmtId="0" fontId="99" fillId="0" borderId="15" xfId="41" applyFont="1" applyBorder="1" applyAlignment="1">
      <alignment horizontal="center" vertical="center" wrapText="1"/>
    </xf>
    <xf numFmtId="0" fontId="99" fillId="0" borderId="19" xfId="41" applyFont="1" applyBorder="1" applyAlignment="1">
      <alignment horizontal="center" vertical="center"/>
    </xf>
    <xf numFmtId="0" fontId="99" fillId="0" borderId="64" xfId="41" applyFont="1" applyBorder="1" applyAlignment="1">
      <alignment horizontal="center" vertical="center"/>
    </xf>
    <xf numFmtId="0" fontId="99" fillId="0" borderId="29" xfId="41" applyFont="1" applyBorder="1" applyAlignment="1">
      <alignment horizontal="center" vertical="center"/>
    </xf>
    <xf numFmtId="0" fontId="9" fillId="0" borderId="20" xfId="41" applyFont="1" applyBorder="1" applyAlignment="1">
      <alignment horizontal="center" vertical="center" wrapText="1"/>
    </xf>
    <xf numFmtId="0" fontId="9" fillId="0" borderId="52" xfId="41" applyFont="1" applyBorder="1" applyAlignment="1">
      <alignment horizontal="center" vertical="center" wrapText="1"/>
    </xf>
    <xf numFmtId="0" fontId="9" fillId="46" borderId="19" xfId="41" applyFont="1" applyFill="1" applyBorder="1" applyAlignment="1">
      <alignment horizontal="center" vertical="center" wrapText="1"/>
    </xf>
    <xf numFmtId="0" fontId="9" fillId="46" borderId="64" xfId="41" applyFont="1" applyFill="1" applyBorder="1" applyAlignment="1">
      <alignment horizontal="center" vertical="center" wrapText="1"/>
    </xf>
    <xf numFmtId="0" fontId="9" fillId="46" borderId="29" xfId="41" applyFont="1" applyFill="1" applyBorder="1" applyAlignment="1">
      <alignment horizontal="center" vertical="center" wrapText="1"/>
    </xf>
    <xf numFmtId="0" fontId="9" fillId="38" borderId="19" xfId="41" applyFont="1" applyFill="1" applyBorder="1" applyAlignment="1">
      <alignment horizontal="center" vertical="center" wrapText="1"/>
    </xf>
    <xf numFmtId="0" fontId="9" fillId="38" borderId="64" xfId="41" applyFont="1" applyFill="1" applyBorder="1" applyAlignment="1">
      <alignment horizontal="center" vertical="center" wrapText="1"/>
    </xf>
    <xf numFmtId="0" fontId="9" fillId="38" borderId="29" xfId="41" applyFont="1" applyFill="1" applyBorder="1" applyAlignment="1">
      <alignment horizontal="center" vertical="center" wrapText="1"/>
    </xf>
    <xf numFmtId="0" fontId="99" fillId="0" borderId="26" xfId="41" applyFont="1" applyBorder="1" applyAlignment="1">
      <alignment horizontal="center" vertical="center" wrapText="1"/>
    </xf>
    <xf numFmtId="0" fontId="99" fillId="0" borderId="63" xfId="41" applyFont="1" applyBorder="1" applyAlignment="1">
      <alignment horizontal="center" vertical="center" wrapText="1"/>
    </xf>
    <xf numFmtId="0" fontId="99" fillId="0" borderId="34" xfId="41" applyFont="1" applyBorder="1" applyAlignment="1">
      <alignment horizontal="center" vertical="center" wrapText="1"/>
    </xf>
    <xf numFmtId="0" fontId="99" fillId="0" borderId="20" xfId="41" applyFont="1" applyBorder="1" applyAlignment="1">
      <alignment horizontal="center" vertical="center"/>
    </xf>
    <xf numFmtId="0" fontId="99" fillId="0" borderId="27" xfId="41" applyFont="1" applyBorder="1" applyAlignment="1">
      <alignment horizontal="center" vertical="center"/>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9" fillId="0" borderId="40" xfId="0" applyFont="1" applyBorder="1" applyAlignment="1">
      <alignment horizontal="left" vertical="center" wrapText="1" indent="1"/>
    </xf>
    <xf numFmtId="0" fontId="9" fillId="0" borderId="74" xfId="0" applyFont="1" applyBorder="1" applyAlignment="1">
      <alignment horizontal="center" vertical="center" wrapText="1"/>
    </xf>
    <xf numFmtId="0" fontId="9" fillId="0" borderId="4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38" xfId="0" applyFont="1" applyBorder="1" applyAlignment="1">
      <alignment horizontal="center" vertical="center" wrapText="1"/>
    </xf>
    <xf numFmtId="0" fontId="26" fillId="0" borderId="37" xfId="0" applyFont="1" applyBorder="1" applyAlignment="1">
      <alignment horizontal="left" vertical="center" wrapText="1"/>
    </xf>
    <xf numFmtId="0" fontId="26" fillId="0" borderId="50" xfId="0" applyFont="1" applyBorder="1" applyAlignment="1">
      <alignment horizontal="left" vertical="center" wrapText="1"/>
    </xf>
    <xf numFmtId="0" fontId="26" fillId="0" borderId="32" xfId="0" applyFont="1" applyBorder="1" applyAlignment="1">
      <alignment horizontal="left"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62" xfId="0" applyFont="1" applyBorder="1" applyAlignment="1">
      <alignment horizontal="left" vertical="center" wrapText="1" indent="1"/>
    </xf>
    <xf numFmtId="0" fontId="9" fillId="0" borderId="52" xfId="0" applyFont="1" applyBorder="1" applyAlignment="1">
      <alignment horizontal="left" vertical="center" wrapText="1" indent="1"/>
    </xf>
    <xf numFmtId="0" fontId="9" fillId="0" borderId="38" xfId="0" applyFont="1" applyBorder="1" applyAlignment="1">
      <alignment horizontal="left" vertical="center" wrapText="1" indent="1"/>
    </xf>
    <xf numFmtId="0" fontId="5" fillId="0" borderId="12" xfId="40" applyFont="1" applyBorder="1" applyAlignment="1">
      <alignment horizontal="center"/>
    </xf>
    <xf numFmtId="0" fontId="5" fillId="0" borderId="0" xfId="40" applyFont="1" applyAlignment="1">
      <alignment horizontal="center"/>
    </xf>
    <xf numFmtId="0" fontId="26" fillId="0" borderId="37" xfId="40" applyFont="1" applyBorder="1" applyAlignment="1">
      <alignment horizontal="left" vertical="center"/>
    </xf>
    <xf numFmtId="0" fontId="26" fillId="0" borderId="50" xfId="40" applyFont="1" applyBorder="1" applyAlignment="1">
      <alignment horizontal="left" vertical="center"/>
    </xf>
    <xf numFmtId="0" fontId="26" fillId="0" borderId="32" xfId="40" applyFont="1" applyBorder="1" applyAlignment="1">
      <alignment horizontal="left" vertical="center"/>
    </xf>
    <xf numFmtId="0" fontId="6" fillId="0" borderId="71" xfId="40" applyFont="1" applyBorder="1" applyAlignment="1">
      <alignment horizontal="center" vertical="center" wrapText="1"/>
    </xf>
    <xf numFmtId="0" fontId="6" fillId="0" borderId="72" xfId="40" applyFont="1" applyBorder="1" applyAlignment="1">
      <alignment horizontal="center" vertical="center"/>
    </xf>
    <xf numFmtId="0" fontId="6" fillId="0" borderId="73" xfId="40" applyFont="1" applyBorder="1" applyAlignment="1">
      <alignment horizontal="center" vertical="center"/>
    </xf>
    <xf numFmtId="0" fontId="9" fillId="0" borderId="23" xfId="40" applyFont="1" applyBorder="1" applyAlignment="1">
      <alignment horizontal="left" vertical="center" wrapText="1" indent="1"/>
    </xf>
    <xf numFmtId="0" fontId="9" fillId="0" borderId="25" xfId="40" applyFont="1" applyBorder="1" applyAlignment="1">
      <alignment horizontal="left" vertical="center" wrapText="1" indent="1"/>
    </xf>
    <xf numFmtId="0" fontId="9" fillId="0" borderId="24" xfId="40" applyFont="1" applyBorder="1" applyAlignment="1">
      <alignment horizontal="left" vertical="center" wrapText="1" indent="1"/>
    </xf>
    <xf numFmtId="0" fontId="26" fillId="0" borderId="35" xfId="40" applyFont="1" applyBorder="1" applyAlignment="1">
      <alignment horizontal="left" vertical="center"/>
    </xf>
    <xf numFmtId="0" fontId="26" fillId="0" borderId="46" xfId="40" applyFont="1" applyBorder="1" applyAlignment="1">
      <alignment horizontal="left" vertical="center"/>
    </xf>
    <xf numFmtId="0" fontId="26" fillId="0" borderId="47" xfId="40" applyFont="1" applyBorder="1" applyAlignment="1">
      <alignment horizontal="left" vertical="center"/>
    </xf>
    <xf numFmtId="0" fontId="26" fillId="36" borderId="48" xfId="40" applyFont="1" applyFill="1" applyBorder="1" applyAlignment="1">
      <alignment horizontal="left" vertical="center"/>
    </xf>
    <xf numFmtId="0" fontId="26" fillId="36" borderId="0" xfId="40" applyFont="1" applyFill="1" applyBorder="1" applyAlignment="1">
      <alignment horizontal="left" vertical="center"/>
    </xf>
    <xf numFmtId="0" fontId="26" fillId="36" borderId="49" xfId="40" applyFont="1" applyFill="1" applyBorder="1" applyAlignment="1">
      <alignment horizontal="left" vertical="center"/>
    </xf>
    <xf numFmtId="0" fontId="26" fillId="0" borderId="48" xfId="40" applyFont="1" applyBorder="1" applyAlignment="1">
      <alignment horizontal="left" vertical="center"/>
    </xf>
    <xf numFmtId="0" fontId="26" fillId="0" borderId="0" xfId="40" applyFont="1" applyBorder="1" applyAlignment="1">
      <alignment horizontal="left" vertical="center"/>
    </xf>
    <xf numFmtId="0" fontId="26" fillId="0" borderId="49" xfId="40" applyFont="1" applyBorder="1" applyAlignment="1">
      <alignment horizontal="left" vertical="center"/>
    </xf>
    <xf numFmtId="0" fontId="4" fillId="0" borderId="0" xfId="0" applyFont="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6"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8" xfId="0" applyFont="1" applyFill="1" applyBorder="1" applyAlignment="1">
      <alignment horizontal="center" vertical="center" wrapText="1"/>
    </xf>
    <xf numFmtId="49" fontId="4" fillId="36" borderId="34" xfId="0" applyNumberFormat="1" applyFont="1" applyFill="1" applyBorder="1" applyAlignment="1">
      <alignment horizontal="center" vertical="center" wrapText="1"/>
    </xf>
    <xf numFmtId="49" fontId="4" fillId="36" borderId="14" xfId="0" applyNumberFormat="1"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49" fontId="4" fillId="36" borderId="29" xfId="0" applyNumberFormat="1" applyFont="1" applyFill="1" applyBorder="1" applyAlignment="1">
      <alignment horizontal="center" vertical="center" wrapText="1"/>
    </xf>
    <xf numFmtId="49" fontId="4" fillId="36" borderId="13" xfId="0" applyNumberFormat="1" applyFont="1" applyFill="1" applyBorder="1" applyAlignment="1">
      <alignment horizontal="center" vertical="center" wrapText="1"/>
    </xf>
    <xf numFmtId="49" fontId="105" fillId="0" borderId="29" xfId="0" applyNumberFormat="1" applyFont="1" applyBorder="1" applyAlignment="1">
      <alignment horizontal="center" vertical="center" wrapText="1"/>
    </xf>
    <xf numFmtId="49" fontId="105" fillId="0" borderId="13" xfId="0" applyNumberFormat="1" applyFont="1" applyBorder="1" applyAlignment="1">
      <alignment horizontal="center" vertical="center" wrapText="1"/>
    </xf>
    <xf numFmtId="0" fontId="146" fillId="0" borderId="0" xfId="0" applyFont="1" applyFill="1" applyBorder="1" applyAlignment="1">
      <alignment horizontal="left"/>
    </xf>
    <xf numFmtId="0" fontId="146" fillId="0" borderId="0" xfId="0" applyFont="1" applyFill="1" applyBorder="1" applyAlignment="1">
      <alignment horizontal="left" vertical="center"/>
    </xf>
    <xf numFmtId="4" fontId="146" fillId="0" borderId="0" xfId="0" applyNumberFormat="1" applyFont="1" applyFill="1" applyBorder="1" applyAlignment="1">
      <alignment horizontal="left"/>
    </xf>
    <xf numFmtId="0" fontId="26" fillId="0" borderId="0" xfId="0" applyFont="1" applyFill="1" applyBorder="1" applyAlignment="1">
      <alignment horizontal="left" wrapText="1"/>
    </xf>
    <xf numFmtId="49" fontId="142" fillId="0" borderId="0" xfId="0" applyNumberFormat="1" applyFont="1" applyFill="1" applyAlignment="1">
      <alignment horizontal="center" vertical="top" wrapText="1"/>
    </xf>
    <xf numFmtId="49" fontId="140" fillId="0" borderId="0" xfId="0" applyNumberFormat="1" applyFont="1" applyFill="1" applyAlignment="1">
      <alignment horizontal="center" wrapText="1"/>
    </xf>
    <xf numFmtId="0" fontId="6" fillId="0" borderId="65"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9" fillId="0" borderId="61" xfId="0" applyFont="1" applyFill="1" applyBorder="1" applyAlignment="1">
      <alignment horizontal="left" vertical="center" wrapText="1" indent="1"/>
    </xf>
    <xf numFmtId="0" fontId="9" fillId="0" borderId="74" xfId="0" applyFont="1" applyFill="1" applyBorder="1" applyAlignment="1">
      <alignment horizontal="left" vertical="center" wrapText="1" indent="1"/>
    </xf>
    <xf numFmtId="0" fontId="9" fillId="0" borderId="69" xfId="0" applyFont="1" applyFill="1" applyBorder="1" applyAlignment="1">
      <alignment horizontal="left" vertical="center" wrapText="1" indent="1"/>
    </xf>
    <xf numFmtId="0" fontId="9" fillId="0" borderId="41" xfId="0" applyFont="1" applyFill="1" applyBorder="1" applyAlignment="1">
      <alignment horizontal="left" vertical="center" wrapText="1" indent="1"/>
    </xf>
    <xf numFmtId="0" fontId="85" fillId="0" borderId="15"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105" fillId="0" borderId="1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0" xfId="0" applyFont="1" applyBorder="1" applyAlignment="1">
      <alignment vertical="center" wrapText="1"/>
    </xf>
    <xf numFmtId="0" fontId="6" fillId="0" borderId="30" xfId="43" applyFont="1" applyBorder="1" applyAlignment="1">
      <alignment horizontal="center" vertical="center" wrapText="1"/>
    </xf>
    <xf numFmtId="0" fontId="6" fillId="0" borderId="31" xfId="43" applyFont="1" applyBorder="1" applyAlignment="1">
      <alignment horizontal="center" vertical="center" wrapText="1"/>
    </xf>
    <xf numFmtId="0" fontId="6" fillId="0" borderId="36" xfId="43" applyFont="1" applyBorder="1" applyAlignment="1">
      <alignment horizontal="center" vertical="center" wrapText="1"/>
    </xf>
    <xf numFmtId="0" fontId="9" fillId="0" borderId="29" xfId="0" applyFont="1" applyBorder="1" applyAlignment="1">
      <alignment horizontal="center" vertical="center" wrapText="1"/>
    </xf>
    <xf numFmtId="0" fontId="9" fillId="0" borderId="34" xfId="0" applyFont="1" applyBorder="1" applyAlignment="1">
      <alignment horizontal="center" vertical="center" wrapText="1"/>
    </xf>
    <xf numFmtId="0" fontId="161" fillId="0" borderId="0"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14" fillId="0" borderId="46" xfId="0" applyFont="1" applyBorder="1" applyAlignment="1">
      <alignment horizontal="left" vertical="center" wrapText="1"/>
    </xf>
    <xf numFmtId="0" fontId="31" fillId="0" borderId="3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37" xfId="0" applyFont="1" applyBorder="1" applyAlignment="1">
      <alignment horizontal="left" vertical="center"/>
    </xf>
    <xf numFmtId="0" fontId="31" fillId="0" borderId="50" xfId="0" applyFont="1" applyBorder="1" applyAlignment="1">
      <alignment horizontal="left" vertical="center"/>
    </xf>
    <xf numFmtId="0" fontId="31" fillId="0" borderId="32" xfId="0" applyFont="1" applyBorder="1" applyAlignment="1">
      <alignment horizontal="left" vertical="center"/>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71" xfId="91" applyFont="1" applyBorder="1" applyAlignment="1">
      <alignment horizontal="center" vertical="center" wrapText="1"/>
    </xf>
    <xf numFmtId="0" fontId="6" fillId="0" borderId="72" xfId="91" applyFont="1" applyBorder="1" applyAlignment="1">
      <alignment horizontal="center" vertical="center" wrapText="1"/>
    </xf>
    <xf numFmtId="0" fontId="6" fillId="0" borderId="76" xfId="91" applyFont="1" applyBorder="1" applyAlignment="1">
      <alignment horizontal="center" vertical="center" wrapText="1"/>
    </xf>
    <xf numFmtId="0" fontId="6" fillId="0" borderId="73" xfId="91" applyFont="1" applyBorder="1" applyAlignment="1">
      <alignment horizontal="center" vertical="center" wrapText="1"/>
    </xf>
    <xf numFmtId="0" fontId="9" fillId="0" borderId="23" xfId="91" applyFont="1" applyBorder="1" applyAlignment="1">
      <alignment horizontal="left" vertical="center" wrapText="1" indent="1"/>
    </xf>
    <xf numFmtId="0" fontId="9" fillId="0" borderId="25" xfId="91" applyFont="1" applyBorder="1" applyAlignment="1">
      <alignment horizontal="left" vertical="center" wrapText="1" indent="1"/>
    </xf>
    <xf numFmtId="0" fontId="9" fillId="0" borderId="60" xfId="91" applyFont="1" applyBorder="1" applyAlignment="1">
      <alignment horizontal="left" vertical="center" wrapText="1" indent="1"/>
    </xf>
    <xf numFmtId="0" fontId="9" fillId="0" borderId="24" xfId="91" applyFont="1" applyBorder="1" applyAlignment="1">
      <alignment horizontal="left" vertical="center" wrapText="1" indent="1"/>
    </xf>
    <xf numFmtId="0" fontId="9" fillId="0" borderId="50" xfId="91" applyFont="1" applyBorder="1" applyAlignment="1">
      <alignment horizontal="center" vertical="center" wrapText="1"/>
    </xf>
    <xf numFmtId="0" fontId="9" fillId="0" borderId="54" xfId="91" applyFont="1" applyBorder="1" applyAlignment="1">
      <alignment horizontal="center" vertical="center" wrapText="1"/>
    </xf>
    <xf numFmtId="0" fontId="26" fillId="0" borderId="13" xfId="91" applyFont="1" applyBorder="1" applyAlignment="1">
      <alignment horizontal="left" vertical="center" wrapText="1"/>
    </xf>
    <xf numFmtId="0" fontId="5" fillId="0" borderId="0" xfId="91" applyFont="1" applyAlignment="1">
      <alignment horizontal="center" wrapText="1"/>
    </xf>
    <xf numFmtId="0" fontId="9" fillId="0" borderId="25" xfId="91" applyFont="1" applyBorder="1" applyAlignment="1">
      <alignment horizontal="center" vertical="center" wrapText="1"/>
    </xf>
    <xf numFmtId="3" fontId="14" fillId="0" borderId="65" xfId="45" applyNumberFormat="1" applyFont="1" applyBorder="1" applyAlignment="1">
      <alignment horizontal="center" vertical="center" wrapText="1"/>
    </xf>
    <xf numFmtId="3" fontId="14" fillId="0" borderId="58" xfId="45" applyNumberFormat="1" applyFont="1" applyBorder="1" applyAlignment="1">
      <alignment horizontal="center" vertical="center" wrapText="1"/>
    </xf>
    <xf numFmtId="3" fontId="14" fillId="0" borderId="59" xfId="45" applyNumberFormat="1" applyFont="1" applyBorder="1" applyAlignment="1">
      <alignment horizontal="center" vertical="center" wrapText="1"/>
    </xf>
    <xf numFmtId="3" fontId="9" fillId="0" borderId="22" xfId="45" applyNumberFormat="1" applyFont="1" applyBorder="1" applyAlignment="1">
      <alignment horizontal="center" vertical="center" wrapText="1"/>
    </xf>
    <xf numFmtId="3" fontId="9" fillId="0" borderId="15" xfId="45" applyNumberFormat="1" applyFont="1" applyBorder="1" applyAlignment="1">
      <alignment horizontal="center" vertical="center" wrapText="1"/>
    </xf>
    <xf numFmtId="0" fontId="6" fillId="0" borderId="29" xfId="0" applyFont="1" applyBorder="1" applyAlignment="1">
      <alignment horizontal="center" vertical="center" wrapText="1"/>
    </xf>
    <xf numFmtId="0" fontId="6" fillId="0" borderId="34" xfId="0" applyFont="1" applyBorder="1" applyAlignment="1">
      <alignment horizontal="center" vertical="center" wrapText="1"/>
    </xf>
    <xf numFmtId="3" fontId="14" fillId="0" borderId="65" xfId="104" applyNumberFormat="1" applyFont="1" applyBorder="1" applyAlignment="1">
      <alignment horizontal="center" vertical="center" wrapText="1"/>
    </xf>
    <xf numFmtId="3" fontId="14" fillId="0" borderId="58" xfId="104" applyNumberFormat="1" applyFont="1" applyBorder="1" applyAlignment="1">
      <alignment horizontal="center" vertical="center" wrapText="1"/>
    </xf>
    <xf numFmtId="3" fontId="14" fillId="0" borderId="59" xfId="104" applyNumberFormat="1" applyFont="1" applyBorder="1" applyAlignment="1">
      <alignment horizontal="center" vertical="center" wrapText="1"/>
    </xf>
    <xf numFmtId="3" fontId="9" fillId="0" borderId="65" xfId="104" applyNumberFormat="1" applyFont="1" applyBorder="1" applyAlignment="1">
      <alignment horizontal="left" vertical="center" wrapText="1" indent="1"/>
    </xf>
    <xf numFmtId="3" fontId="9" fillId="0" borderId="58" xfId="104" applyNumberFormat="1" applyFont="1" applyBorder="1" applyAlignment="1">
      <alignment horizontal="left" vertical="center" wrapText="1" indent="1"/>
    </xf>
    <xf numFmtId="3" fontId="9" fillId="0" borderId="59" xfId="104" applyNumberFormat="1" applyFont="1" applyBorder="1" applyAlignment="1">
      <alignment horizontal="left" vertical="center" wrapText="1" indent="1"/>
    </xf>
    <xf numFmtId="0" fontId="60" fillId="32" borderId="15" xfId="92" applyFont="1" applyFill="1" applyBorder="1" applyAlignment="1"/>
    <xf numFmtId="0" fontId="60" fillId="32" borderId="13" xfId="92" applyFont="1" applyFill="1" applyBorder="1" applyAlignment="1"/>
    <xf numFmtId="0" fontId="60" fillId="0" borderId="15" xfId="92" applyFont="1" applyBorder="1" applyAlignment="1"/>
    <xf numFmtId="0" fontId="60" fillId="0" borderId="13" xfId="92" applyFont="1" applyBorder="1" applyAlignment="1"/>
    <xf numFmtId="0" fontId="60" fillId="32" borderId="16" xfId="92" applyFont="1" applyFill="1" applyBorder="1" applyAlignment="1"/>
    <xf numFmtId="0" fontId="60" fillId="32" borderId="17" xfId="92" applyFont="1" applyFill="1" applyBorder="1" applyAlignment="1"/>
    <xf numFmtId="0" fontId="14" fillId="0" borderId="68" xfId="0" applyNumberFormat="1" applyFont="1" applyBorder="1" applyAlignment="1">
      <alignment horizontal="center" vertical="center" wrapText="1"/>
    </xf>
    <xf numFmtId="0" fontId="14" fillId="0" borderId="69" xfId="0" applyNumberFormat="1" applyFont="1" applyBorder="1" applyAlignment="1">
      <alignment horizontal="center" vertical="center" wrapText="1"/>
    </xf>
    <xf numFmtId="0" fontId="14" fillId="0" borderId="70" xfId="0" applyNumberFormat="1" applyFont="1" applyBorder="1" applyAlignment="1">
      <alignment horizontal="center" vertical="center" wrapText="1"/>
    </xf>
    <xf numFmtId="0" fontId="9" fillId="0" borderId="65" xfId="0" applyFont="1" applyBorder="1" applyAlignment="1">
      <alignment horizontal="left" vertical="center" wrapText="1"/>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60" fillId="32" borderId="30" xfId="92" applyFont="1" applyFill="1" applyBorder="1" applyAlignment="1">
      <alignment horizontal="left" vertical="center" indent="1"/>
    </xf>
    <xf numFmtId="0" fontId="60" fillId="32" borderId="31" xfId="92" applyFont="1" applyFill="1" applyBorder="1" applyAlignment="1">
      <alignment horizontal="left" vertical="center" indent="1"/>
    </xf>
    <xf numFmtId="0" fontId="10" fillId="0" borderId="50" xfId="0" applyFont="1" applyBorder="1" applyAlignment="1">
      <alignment horizontal="left"/>
    </xf>
    <xf numFmtId="0" fontId="6" fillId="0" borderId="61"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40" xfId="0" applyFont="1" applyBorder="1" applyAlignment="1">
      <alignment horizontal="center" vertical="center" wrapText="1"/>
    </xf>
  </cellXfs>
  <cellStyles count="10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čiarky 2 2" xfId="90"/>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1"/>
    <cellStyle name="Normálna 3" xfId="105"/>
    <cellStyle name="Normálna 3 2" xfId="106"/>
    <cellStyle name="normálne 2" xfId="41"/>
    <cellStyle name="normálne 3" xfId="42"/>
    <cellStyle name="normálne 3 2" xfId="92"/>
    <cellStyle name="normálne 4" xfId="43"/>
    <cellStyle name="normálne 4 2" xfId="93"/>
    <cellStyle name="normálne_Databazy_VVŠ_2007_ severská" xfId="44"/>
    <cellStyle name="normálne_Databazy_VVŠ_2007_ severská 2" xfId="104"/>
    <cellStyle name="normálne_sprava_VVŠ_2004_tabuľky_vláda" xfId="45"/>
    <cellStyle name="normálne_sprava_VVŠ_2004_tabuľky_vláda 2" xfId="103"/>
    <cellStyle name="normální_List1" xfId="46"/>
    <cellStyle name="Note" xfId="47"/>
    <cellStyle name="Note 2" xfId="94"/>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 2" xfId="95"/>
    <cellStyle name="SAPBEXHLevel0X" xfId="69"/>
    <cellStyle name="SAPBEXHLevel0X 2" xfId="96"/>
    <cellStyle name="SAPBEXHLevel1" xfId="70"/>
    <cellStyle name="SAPBEXHLevel1 2" xfId="97"/>
    <cellStyle name="SAPBEXHLevel1X" xfId="71"/>
    <cellStyle name="SAPBEXHLevel1X 2" xfId="98"/>
    <cellStyle name="SAPBEXHLevel2" xfId="72"/>
    <cellStyle name="SAPBEXHLevel2 2" xfId="99"/>
    <cellStyle name="SAPBEXHLevel2X" xfId="73"/>
    <cellStyle name="SAPBEXHLevel2X 2" xfId="100"/>
    <cellStyle name="SAPBEXHLevel3" xfId="74"/>
    <cellStyle name="SAPBEXHLevel3 2" xfId="101"/>
    <cellStyle name="SAPBEXHLevel3X" xfId="75"/>
    <cellStyle name="SAPBEXHLevel3X 2" xfId="102"/>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sites/sfar/Zdielane%20dokumenty/Zd_SFaR/Zd_OFV&#352;/ROK_2017/V&#253;ro&#269;n&#233;%20spr&#225;vy%202016/VV&#352;/VV&#352;_Data/STU/Jarka%20tab&#269;.6%20-%20Tab_VS_VV&#352;_za%202016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sites/sfar/Zdielane%20dokumenty/Zd_SFaR/Zd_OFV&#352;/ROK_2017/V&#253;ro&#269;n&#233;%20spr&#225;vy%202016/VV&#352;/VV&#352;_Data/STU/Tab_VS_VV&#352;_za%202016_FINAL_3_4_2017-&#250;pr2%20v&#353;et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sheetData sheetId="9"/>
      <sheetData sheetId="10">
        <row r="7">
          <cell r="F7">
            <v>1016.72</v>
          </cell>
          <cell r="J7">
            <v>18422791.310000006</v>
          </cell>
        </row>
        <row r="8">
          <cell r="F8">
            <v>172.94</v>
          </cell>
          <cell r="J8">
            <v>4670510.99</v>
          </cell>
        </row>
        <row r="9">
          <cell r="F9">
            <v>316.47999999999996</v>
          </cell>
          <cell r="J9">
            <v>6101357.8300000001</v>
          </cell>
        </row>
        <row r="10">
          <cell r="F10">
            <v>507.46999999999997</v>
          </cell>
          <cell r="J10">
            <v>7391564.1799999997</v>
          </cell>
        </row>
        <row r="11">
          <cell r="F11">
            <v>9.43</v>
          </cell>
          <cell r="J11">
            <v>125113.12</v>
          </cell>
        </row>
        <row r="12">
          <cell r="F12">
            <v>10.4</v>
          </cell>
          <cell r="J12">
            <v>134245.19</v>
          </cell>
        </row>
        <row r="13">
          <cell r="F13">
            <v>219.69</v>
          </cell>
          <cell r="J13">
            <v>2799126.91</v>
          </cell>
        </row>
        <row r="15">
          <cell r="F15">
            <v>111.16</v>
          </cell>
          <cell r="J15">
            <v>1792123.2799999998</v>
          </cell>
        </row>
        <row r="16">
          <cell r="F16">
            <v>438.03999999999996</v>
          </cell>
          <cell r="J16">
            <v>5588694.5</v>
          </cell>
        </row>
        <row r="17">
          <cell r="F17">
            <v>83.74</v>
          </cell>
          <cell r="J17">
            <v>1259364.6300000001</v>
          </cell>
        </row>
        <row r="18">
          <cell r="F18">
            <v>212.67000000000002</v>
          </cell>
          <cell r="J18">
            <v>2810966.37</v>
          </cell>
        </row>
        <row r="19">
          <cell r="F19">
            <v>141.63</v>
          </cell>
          <cell r="J19">
            <v>1518363.5</v>
          </cell>
        </row>
        <row r="20">
          <cell r="F20">
            <v>351.66</v>
          </cell>
          <cell r="J20">
            <v>4967620.92</v>
          </cell>
        </row>
        <row r="21">
          <cell r="F21">
            <v>310.89</v>
          </cell>
          <cell r="J21">
            <v>2304041.62</v>
          </cell>
        </row>
        <row r="22">
          <cell r="F22">
            <v>1</v>
          </cell>
          <cell r="J22">
            <v>6273</v>
          </cell>
        </row>
        <row r="23">
          <cell r="F23">
            <v>1</v>
          </cell>
          <cell r="J23">
            <v>6273</v>
          </cell>
        </row>
        <row r="24">
          <cell r="F24">
            <v>0</v>
          </cell>
          <cell r="J24">
            <v>0</v>
          </cell>
        </row>
        <row r="25">
          <cell r="F25">
            <v>0</v>
          </cell>
          <cell r="J25">
            <v>0</v>
          </cell>
        </row>
        <row r="26">
          <cell r="F26">
            <v>0</v>
          </cell>
          <cell r="J26">
            <v>0</v>
          </cell>
        </row>
        <row r="28">
          <cell r="F28">
            <v>183.57</v>
          </cell>
          <cell r="J28">
            <v>1573542.3099999998</v>
          </cell>
        </row>
        <row r="29">
          <cell r="F29">
            <v>53.93</v>
          </cell>
          <cell r="J29">
            <v>487442.42</v>
          </cell>
        </row>
        <row r="30">
          <cell r="F30">
            <v>2574.5</v>
          </cell>
          <cell r="J30">
            <v>36143259.99000001</v>
          </cell>
        </row>
      </sheetData>
      <sheetData sheetId="11">
        <row r="7">
          <cell r="F7">
            <v>345.99</v>
          </cell>
          <cell r="J7">
            <v>5618949.3190000011</v>
          </cell>
        </row>
        <row r="8">
          <cell r="F8">
            <v>14.41</v>
          </cell>
          <cell r="J8">
            <v>407140.37</v>
          </cell>
        </row>
        <row r="9">
          <cell r="F9">
            <v>114.17</v>
          </cell>
          <cell r="J9">
            <v>2117569.48</v>
          </cell>
        </row>
        <row r="10">
          <cell r="F10">
            <v>209.62</v>
          </cell>
          <cell r="J10">
            <v>2992233</v>
          </cell>
        </row>
        <row r="11">
          <cell r="F11">
            <v>2.21</v>
          </cell>
          <cell r="J11">
            <v>27126.58</v>
          </cell>
        </row>
        <row r="12">
          <cell r="F12">
            <v>5.58</v>
          </cell>
          <cell r="J12">
            <v>74879.888999999996</v>
          </cell>
        </row>
        <row r="13">
          <cell r="F13">
            <v>111.31</v>
          </cell>
          <cell r="J13">
            <v>1236835.98</v>
          </cell>
        </row>
        <row r="15">
          <cell r="F15">
            <v>34.14</v>
          </cell>
          <cell r="J15">
            <v>504255.25</v>
          </cell>
        </row>
        <row r="16">
          <cell r="F16">
            <v>372.78999999999996</v>
          </cell>
          <cell r="J16">
            <v>4463400.76</v>
          </cell>
        </row>
        <row r="17">
          <cell r="F17">
            <v>68.900000000000006</v>
          </cell>
          <cell r="J17">
            <v>991709.75</v>
          </cell>
        </row>
        <row r="18">
          <cell r="F18">
            <v>187.88</v>
          </cell>
          <cell r="J18">
            <v>2241432.31</v>
          </cell>
        </row>
        <row r="19">
          <cell r="F19">
            <v>116.00999999999999</v>
          </cell>
          <cell r="J19">
            <v>1230258.7</v>
          </cell>
        </row>
        <row r="20">
          <cell r="F20">
            <v>117.08</v>
          </cell>
          <cell r="J20">
            <v>1477916.21</v>
          </cell>
        </row>
        <row r="21">
          <cell r="F21">
            <v>156.04</v>
          </cell>
          <cell r="J21">
            <v>1036737.19</v>
          </cell>
        </row>
        <row r="22">
          <cell r="F22">
            <v>0</v>
          </cell>
          <cell r="J22">
            <v>0</v>
          </cell>
        </row>
        <row r="23">
          <cell r="F23">
            <v>0</v>
          </cell>
          <cell r="J23">
            <v>0</v>
          </cell>
        </row>
        <row r="24">
          <cell r="F24">
            <v>0</v>
          </cell>
          <cell r="J24">
            <v>0</v>
          </cell>
        </row>
        <row r="25">
          <cell r="F25">
            <v>0</v>
          </cell>
          <cell r="J25">
            <v>0</v>
          </cell>
        </row>
        <row r="26">
          <cell r="F26">
            <v>0</v>
          </cell>
          <cell r="J26">
            <v>0</v>
          </cell>
        </row>
        <row r="28">
          <cell r="F28">
            <v>117.76</v>
          </cell>
          <cell r="J28">
            <v>980140.97</v>
          </cell>
        </row>
        <row r="29">
          <cell r="F29">
            <v>42.48</v>
          </cell>
          <cell r="J29">
            <v>378291.46</v>
          </cell>
        </row>
        <row r="30">
          <cell r="F30">
            <v>1263.45</v>
          </cell>
          <cell r="J30">
            <v>15192271.889000002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2">
          <cell r="F42">
            <v>0</v>
          </cell>
        </row>
      </sheetData>
      <sheetData sheetId="27"/>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120" zoomScaleNormal="120" workbookViewId="0">
      <pane xSplit="1" ySplit="1" topLeftCell="B2" activePane="bottomRight" state="frozen"/>
      <selection pane="topRight" activeCell="B1" sqref="B1"/>
      <selection pane="bottomLeft" activeCell="A3" sqref="A3"/>
      <selection pane="bottomRight" activeCell="A22" sqref="A22"/>
    </sheetView>
  </sheetViews>
  <sheetFormatPr defaultColWidth="9.140625" defaultRowHeight="15.75" x14ac:dyDescent="0.25"/>
  <cols>
    <col min="1" max="1" width="13.7109375" style="393" customWidth="1"/>
    <col min="2" max="16" width="9.140625" style="81"/>
    <col min="17" max="17" width="10.28515625" style="81" customWidth="1"/>
    <col min="18" max="18" width="19.42578125" style="81" customWidth="1"/>
    <col min="19" max="16384" width="9.140625" style="81"/>
  </cols>
  <sheetData>
    <row r="1" spans="1:18" ht="23.25" customHeight="1" x14ac:dyDescent="0.25">
      <c r="A1" s="173"/>
      <c r="B1" s="394" t="s">
        <v>1022</v>
      </c>
      <c r="C1" s="384"/>
      <c r="D1" s="384"/>
      <c r="E1" s="384"/>
      <c r="F1" s="384"/>
      <c r="G1" s="384"/>
      <c r="H1" s="384"/>
      <c r="I1" s="384"/>
      <c r="J1" s="384"/>
      <c r="K1" s="384"/>
      <c r="L1" s="385"/>
      <c r="M1" s="386"/>
      <c r="N1" s="386"/>
      <c r="O1" s="386"/>
      <c r="P1" s="386"/>
      <c r="Q1" s="387"/>
    </row>
    <row r="2" spans="1:18" ht="23.1" customHeight="1" x14ac:dyDescent="0.25">
      <c r="A2" s="200" t="s">
        <v>12</v>
      </c>
      <c r="B2" s="175" t="s">
        <v>1023</v>
      </c>
      <c r="C2" s="175"/>
      <c r="D2" s="175"/>
      <c r="E2" s="175"/>
      <c r="F2" s="175"/>
      <c r="G2" s="175"/>
      <c r="H2" s="175"/>
      <c r="I2" s="175"/>
      <c r="J2" s="175"/>
      <c r="K2" s="175"/>
      <c r="L2" s="175"/>
      <c r="M2" s="175"/>
      <c r="N2" s="175"/>
      <c r="O2" s="175"/>
      <c r="P2" s="175"/>
      <c r="Q2" s="389"/>
    </row>
    <row r="3" spans="1:18" ht="23.1" customHeight="1" x14ac:dyDescent="0.25">
      <c r="A3" s="200" t="s">
        <v>696</v>
      </c>
      <c r="B3" s="175" t="s">
        <v>1024</v>
      </c>
      <c r="C3" s="175"/>
      <c r="D3" s="175"/>
      <c r="E3" s="175"/>
      <c r="F3" s="175"/>
      <c r="G3" s="175"/>
      <c r="H3" s="175"/>
      <c r="I3" s="175"/>
      <c r="J3" s="175"/>
      <c r="K3" s="175"/>
      <c r="L3" s="175"/>
      <c r="M3" s="175"/>
      <c r="N3" s="175"/>
      <c r="O3" s="175"/>
      <c r="P3" s="175"/>
      <c r="Q3" s="389"/>
    </row>
    <row r="4" spans="1:18" ht="23.1" customHeight="1" x14ac:dyDescent="0.25">
      <c r="A4" s="200" t="s">
        <v>857</v>
      </c>
      <c r="B4" s="201" t="s">
        <v>856</v>
      </c>
      <c r="C4" s="201"/>
      <c r="D4" s="175"/>
      <c r="E4" s="175"/>
      <c r="F4" s="175"/>
      <c r="G4" s="175"/>
      <c r="H4" s="175"/>
      <c r="I4" s="175"/>
      <c r="J4" s="175"/>
      <c r="K4" s="175"/>
      <c r="L4" s="175"/>
      <c r="M4" s="175"/>
      <c r="N4" s="175"/>
      <c r="O4" s="175"/>
      <c r="P4" s="175"/>
      <c r="Q4" s="389"/>
    </row>
    <row r="5" spans="1:18" ht="39.75" customHeight="1" x14ac:dyDescent="0.25">
      <c r="A5" s="199" t="s">
        <v>314</v>
      </c>
      <c r="B5" s="853" t="s">
        <v>1025</v>
      </c>
      <c r="C5" s="853"/>
      <c r="D5" s="853"/>
      <c r="E5" s="853"/>
      <c r="F5" s="853"/>
      <c r="G5" s="853"/>
      <c r="H5" s="853"/>
      <c r="I5" s="853"/>
      <c r="J5" s="853"/>
      <c r="K5" s="853"/>
      <c r="L5" s="853"/>
      <c r="M5" s="853"/>
      <c r="N5" s="853"/>
      <c r="O5" s="853"/>
      <c r="P5" s="853"/>
      <c r="Q5" s="854"/>
    </row>
    <row r="6" spans="1:18" ht="23.1" customHeight="1" x14ac:dyDescent="0.25">
      <c r="A6" s="199" t="s">
        <v>209</v>
      </c>
      <c r="B6" s="201" t="s">
        <v>1026</v>
      </c>
      <c r="C6" s="201"/>
      <c r="D6" s="201"/>
      <c r="E6" s="201"/>
      <c r="F6" s="201"/>
      <c r="G6" s="201"/>
      <c r="H6" s="201"/>
      <c r="I6" s="201"/>
      <c r="J6" s="201"/>
      <c r="K6" s="201"/>
      <c r="L6" s="201"/>
      <c r="M6" s="201"/>
      <c r="N6" s="201"/>
      <c r="O6" s="201"/>
      <c r="P6" s="201"/>
      <c r="Q6" s="390"/>
    </row>
    <row r="7" spans="1:18" ht="23.1" customHeight="1" x14ac:dyDescent="0.25">
      <c r="A7" s="199" t="s">
        <v>210</v>
      </c>
      <c r="B7" s="310" t="s">
        <v>1128</v>
      </c>
      <c r="C7" s="201"/>
      <c r="D7" s="201"/>
      <c r="E7" s="201"/>
      <c r="F7" s="201"/>
      <c r="G7" s="201"/>
      <c r="H7" s="201"/>
      <c r="I7" s="201"/>
      <c r="J7" s="201"/>
      <c r="K7" s="201"/>
      <c r="L7" s="201"/>
      <c r="M7" s="201"/>
      <c r="N7" s="201"/>
      <c r="O7" s="201"/>
      <c r="P7" s="201"/>
      <c r="Q7" s="390"/>
    </row>
    <row r="8" spans="1:18" ht="23.1" customHeight="1" x14ac:dyDescent="0.25">
      <c r="A8" s="174" t="s">
        <v>211</v>
      </c>
      <c r="B8" s="172" t="s">
        <v>1027</v>
      </c>
      <c r="C8" s="172"/>
      <c r="D8" s="172"/>
      <c r="E8" s="172"/>
      <c r="F8" s="172"/>
      <c r="G8" s="172"/>
      <c r="H8" s="172"/>
      <c r="I8" s="172"/>
      <c r="J8" s="172"/>
      <c r="K8" s="172"/>
      <c r="L8" s="172"/>
      <c r="M8" s="172"/>
      <c r="N8" s="172"/>
      <c r="O8" s="172"/>
      <c r="P8" s="172"/>
      <c r="Q8" s="388"/>
    </row>
    <row r="9" spans="1:18" ht="23.1" customHeight="1" x14ac:dyDescent="0.25">
      <c r="A9" s="199" t="s">
        <v>212</v>
      </c>
      <c r="B9" s="201" t="s">
        <v>1028</v>
      </c>
      <c r="C9" s="201"/>
      <c r="D9" s="201"/>
      <c r="E9" s="201"/>
      <c r="F9" s="201"/>
      <c r="G9" s="201"/>
      <c r="H9" s="201"/>
      <c r="I9" s="201"/>
      <c r="J9" s="201"/>
      <c r="K9" s="201"/>
      <c r="L9" s="201"/>
      <c r="M9" s="201"/>
      <c r="N9" s="201"/>
      <c r="O9" s="201"/>
      <c r="P9" s="201"/>
      <c r="Q9" s="390"/>
    </row>
    <row r="10" spans="1:18" ht="23.1" customHeight="1" x14ac:dyDescent="0.25">
      <c r="A10" s="199" t="s">
        <v>213</v>
      </c>
      <c r="B10" s="201" t="s">
        <v>1029</v>
      </c>
      <c r="C10" s="201"/>
      <c r="D10" s="201"/>
      <c r="E10" s="201"/>
      <c r="F10" s="201"/>
      <c r="G10" s="201"/>
      <c r="H10" s="201"/>
      <c r="I10" s="201"/>
      <c r="J10" s="201"/>
      <c r="K10" s="201"/>
      <c r="L10" s="201"/>
      <c r="M10" s="201"/>
      <c r="N10" s="201"/>
      <c r="O10" s="201"/>
      <c r="P10" s="201"/>
      <c r="Q10" s="390"/>
    </row>
    <row r="11" spans="1:18" ht="23.1" customHeight="1" x14ac:dyDescent="0.25">
      <c r="A11" s="174" t="s">
        <v>873</v>
      </c>
      <c r="B11" s="172" t="s">
        <v>1030</v>
      </c>
      <c r="C11" s="172"/>
      <c r="D11" s="172"/>
      <c r="E11" s="172"/>
      <c r="F11" s="172"/>
      <c r="G11" s="172"/>
      <c r="H11" s="172"/>
      <c r="I11" s="172"/>
      <c r="J11" s="172"/>
      <c r="K11" s="172"/>
      <c r="L11" s="172"/>
      <c r="M11" s="172"/>
      <c r="N11" s="172"/>
      <c r="O11" s="172"/>
      <c r="P11" s="172"/>
      <c r="Q11" s="388"/>
    </row>
    <row r="12" spans="1:18" ht="23.1" customHeight="1" x14ac:dyDescent="0.25">
      <c r="A12" s="199" t="s">
        <v>214</v>
      </c>
      <c r="B12" s="201" t="s">
        <v>1031</v>
      </c>
      <c r="C12" s="201"/>
      <c r="D12" s="201"/>
      <c r="E12" s="201"/>
      <c r="F12" s="201"/>
      <c r="G12" s="201"/>
      <c r="H12" s="201"/>
      <c r="I12" s="201"/>
      <c r="J12" s="201"/>
      <c r="K12" s="201"/>
      <c r="L12" s="201"/>
      <c r="M12" s="201"/>
      <c r="N12" s="201"/>
      <c r="O12" s="201"/>
      <c r="P12" s="201"/>
      <c r="Q12" s="390"/>
      <c r="R12" s="301"/>
    </row>
    <row r="13" spans="1:18" ht="23.1" customHeight="1" x14ac:dyDescent="0.25">
      <c r="A13" s="174" t="s">
        <v>192</v>
      </c>
      <c r="B13" s="172" t="s">
        <v>1032</v>
      </c>
      <c r="C13" s="172"/>
      <c r="D13" s="172"/>
      <c r="E13" s="172"/>
      <c r="F13" s="172"/>
      <c r="G13" s="172"/>
      <c r="H13" s="172"/>
      <c r="I13" s="172"/>
      <c r="J13" s="172"/>
      <c r="K13" s="172"/>
      <c r="L13" s="172"/>
      <c r="M13" s="172"/>
      <c r="N13" s="172"/>
      <c r="O13" s="172"/>
      <c r="P13" s="172"/>
      <c r="Q13" s="388"/>
    </row>
    <row r="14" spans="1:18" ht="23.1" customHeight="1" x14ac:dyDescent="0.25">
      <c r="A14" s="199" t="s">
        <v>0</v>
      </c>
      <c r="B14" s="201" t="s">
        <v>1033</v>
      </c>
      <c r="C14" s="201"/>
      <c r="D14" s="201"/>
      <c r="E14" s="201"/>
      <c r="F14" s="201"/>
      <c r="G14" s="201"/>
      <c r="H14" s="201"/>
      <c r="I14" s="201"/>
      <c r="J14" s="201"/>
      <c r="K14" s="201"/>
      <c r="L14" s="201"/>
      <c r="M14" s="201"/>
      <c r="N14" s="201"/>
      <c r="O14" s="201"/>
      <c r="P14" s="201"/>
      <c r="Q14" s="390"/>
    </row>
    <row r="15" spans="1:18" ht="23.1" customHeight="1" x14ac:dyDescent="0.25">
      <c r="A15" s="174" t="s">
        <v>1</v>
      </c>
      <c r="B15" s="172" t="s">
        <v>1034</v>
      </c>
      <c r="C15" s="172"/>
      <c r="D15" s="172"/>
      <c r="E15" s="172"/>
      <c r="F15" s="172"/>
      <c r="G15" s="172"/>
      <c r="H15" s="172"/>
      <c r="I15" s="172"/>
      <c r="J15" s="172"/>
      <c r="K15" s="172"/>
      <c r="L15" s="172"/>
      <c r="M15" s="172"/>
      <c r="N15" s="172"/>
      <c r="O15" s="172"/>
      <c r="P15" s="172"/>
      <c r="Q15" s="388"/>
    </row>
    <row r="16" spans="1:18" ht="23.1" customHeight="1" x14ac:dyDescent="0.25">
      <c r="A16" s="199" t="s">
        <v>2</v>
      </c>
      <c r="B16" s="201" t="s">
        <v>1035</v>
      </c>
      <c r="C16" s="201"/>
      <c r="D16" s="201"/>
      <c r="E16" s="201"/>
      <c r="F16" s="201"/>
      <c r="G16" s="201"/>
      <c r="H16" s="201"/>
      <c r="I16" s="201"/>
      <c r="J16" s="201"/>
      <c r="K16" s="201"/>
      <c r="L16" s="201"/>
      <c r="M16" s="201"/>
      <c r="N16" s="201"/>
      <c r="O16" s="201"/>
      <c r="P16" s="201"/>
      <c r="Q16" s="390"/>
    </row>
    <row r="17" spans="1:17" ht="23.1" customHeight="1" x14ac:dyDescent="0.25">
      <c r="A17" s="174" t="s">
        <v>3</v>
      </c>
      <c r="B17" s="172" t="s">
        <v>1036</v>
      </c>
      <c r="C17" s="172"/>
      <c r="D17" s="172"/>
      <c r="E17" s="172"/>
      <c r="F17" s="172"/>
      <c r="G17" s="172"/>
      <c r="H17" s="172"/>
      <c r="I17" s="172"/>
      <c r="J17" s="172"/>
      <c r="K17" s="172"/>
      <c r="L17" s="172"/>
      <c r="M17" s="172"/>
      <c r="N17" s="172"/>
      <c r="O17" s="172"/>
      <c r="P17" s="172"/>
      <c r="Q17" s="388"/>
    </row>
    <row r="18" spans="1:17" ht="23.1" customHeight="1" x14ac:dyDescent="0.25">
      <c r="A18" s="199" t="s">
        <v>4</v>
      </c>
      <c r="B18" s="201" t="s">
        <v>1037</v>
      </c>
      <c r="C18" s="201"/>
      <c r="D18" s="201"/>
      <c r="E18" s="201"/>
      <c r="F18" s="201"/>
      <c r="G18" s="201"/>
      <c r="H18" s="201"/>
      <c r="I18" s="201"/>
      <c r="J18" s="201"/>
      <c r="K18" s="201"/>
      <c r="L18" s="201"/>
      <c r="M18" s="201"/>
      <c r="N18" s="201"/>
      <c r="O18" s="201"/>
      <c r="P18" s="201"/>
      <c r="Q18" s="390"/>
    </row>
    <row r="19" spans="1:17" ht="23.1" customHeight="1" x14ac:dyDescent="0.25">
      <c r="A19" s="174" t="s">
        <v>5</v>
      </c>
      <c r="B19" s="172" t="s">
        <v>1038</v>
      </c>
      <c r="C19" s="172"/>
      <c r="D19" s="172"/>
      <c r="E19" s="172"/>
      <c r="F19" s="172"/>
      <c r="G19" s="172"/>
      <c r="H19" s="172"/>
      <c r="I19" s="172"/>
      <c r="J19" s="172"/>
      <c r="K19" s="172"/>
      <c r="L19" s="172"/>
      <c r="M19" s="172"/>
      <c r="N19" s="172"/>
      <c r="O19" s="172"/>
      <c r="P19" s="172"/>
      <c r="Q19" s="388"/>
    </row>
    <row r="20" spans="1:17" ht="32.450000000000003" customHeight="1" x14ac:dyDescent="0.25">
      <c r="A20" s="199" t="s">
        <v>70</v>
      </c>
      <c r="B20" s="857" t="s">
        <v>1039</v>
      </c>
      <c r="C20" s="857"/>
      <c r="D20" s="857"/>
      <c r="E20" s="857"/>
      <c r="F20" s="857"/>
      <c r="G20" s="857"/>
      <c r="H20" s="857"/>
      <c r="I20" s="857"/>
      <c r="J20" s="857"/>
      <c r="K20" s="857"/>
      <c r="L20" s="857"/>
      <c r="M20" s="857"/>
      <c r="N20" s="857"/>
      <c r="O20" s="857"/>
      <c r="P20" s="857"/>
      <c r="Q20" s="858"/>
    </row>
    <row r="21" spans="1:17" ht="33.6" customHeight="1" x14ac:dyDescent="0.25">
      <c r="A21" s="174" t="s">
        <v>6</v>
      </c>
      <c r="B21" s="855" t="s">
        <v>1040</v>
      </c>
      <c r="C21" s="855"/>
      <c r="D21" s="855"/>
      <c r="E21" s="855"/>
      <c r="F21" s="855"/>
      <c r="G21" s="855"/>
      <c r="H21" s="855"/>
      <c r="I21" s="855"/>
      <c r="J21" s="855"/>
      <c r="K21" s="855"/>
      <c r="L21" s="855"/>
      <c r="M21" s="855"/>
      <c r="N21" s="855"/>
      <c r="O21" s="855"/>
      <c r="P21" s="855"/>
      <c r="Q21" s="856"/>
    </row>
    <row r="22" spans="1:17" ht="23.1" customHeight="1" x14ac:dyDescent="0.25">
      <c r="A22" s="199" t="s">
        <v>7</v>
      </c>
      <c r="B22" s="201" t="s">
        <v>1041</v>
      </c>
      <c r="C22" s="201"/>
      <c r="D22" s="201"/>
      <c r="E22" s="201"/>
      <c r="F22" s="201"/>
      <c r="G22" s="201"/>
      <c r="H22" s="201"/>
      <c r="I22" s="201"/>
      <c r="J22" s="201"/>
      <c r="K22" s="201"/>
      <c r="L22" s="201"/>
      <c r="M22" s="201"/>
      <c r="N22" s="201"/>
      <c r="O22" s="201"/>
      <c r="P22" s="201"/>
      <c r="Q22" s="390"/>
    </row>
    <row r="23" spans="1:17" ht="23.1" customHeight="1" x14ac:dyDescent="0.25">
      <c r="A23" s="199" t="s">
        <v>8</v>
      </c>
      <c r="B23" s="172" t="s">
        <v>1042</v>
      </c>
      <c r="C23" s="172"/>
      <c r="D23" s="172"/>
      <c r="E23" s="172"/>
      <c r="F23" s="172"/>
      <c r="G23" s="172"/>
      <c r="H23" s="172"/>
      <c r="I23" s="172"/>
      <c r="J23" s="172"/>
      <c r="K23" s="172"/>
      <c r="L23" s="172"/>
      <c r="M23" s="172"/>
      <c r="N23" s="172"/>
      <c r="O23" s="172"/>
      <c r="P23" s="172"/>
      <c r="Q23" s="388"/>
    </row>
    <row r="24" spans="1:17" ht="23.1" customHeight="1" x14ac:dyDescent="0.25">
      <c r="A24" s="199" t="s">
        <v>9</v>
      </c>
      <c r="B24" s="201" t="s">
        <v>1043</v>
      </c>
      <c r="C24" s="201"/>
      <c r="D24" s="201"/>
      <c r="E24" s="201"/>
      <c r="F24" s="201"/>
      <c r="G24" s="201"/>
      <c r="H24" s="201"/>
      <c r="I24" s="201"/>
      <c r="J24" s="201"/>
      <c r="K24" s="201"/>
      <c r="L24" s="201"/>
      <c r="M24" s="201"/>
      <c r="N24" s="201"/>
      <c r="O24" s="201"/>
      <c r="P24" s="201"/>
      <c r="Q24" s="390"/>
    </row>
    <row r="25" spans="1:17" ht="23.1" customHeight="1" x14ac:dyDescent="0.25">
      <c r="A25" s="199" t="s">
        <v>537</v>
      </c>
      <c r="B25" s="172" t="s">
        <v>1044</v>
      </c>
      <c r="C25" s="172"/>
      <c r="D25" s="172"/>
      <c r="E25" s="172"/>
      <c r="F25" s="172"/>
      <c r="G25" s="172"/>
      <c r="H25" s="172"/>
      <c r="I25" s="172"/>
      <c r="J25" s="172"/>
      <c r="K25" s="172"/>
      <c r="L25" s="172"/>
      <c r="M25" s="172"/>
      <c r="N25" s="172"/>
      <c r="O25" s="172"/>
      <c r="P25" s="172"/>
      <c r="Q25" s="388"/>
    </row>
    <row r="26" spans="1:17" ht="23.1" customHeight="1" x14ac:dyDescent="0.25">
      <c r="A26" s="199" t="s">
        <v>538</v>
      </c>
      <c r="B26" s="201" t="s">
        <v>1130</v>
      </c>
      <c r="C26" s="383"/>
      <c r="D26" s="383"/>
      <c r="E26" s="383"/>
      <c r="F26" s="383"/>
      <c r="G26" s="383"/>
      <c r="H26" s="383"/>
      <c r="I26" s="383"/>
      <c r="J26" s="383"/>
      <c r="K26" s="383"/>
      <c r="L26" s="383"/>
      <c r="M26" s="383"/>
      <c r="N26" s="383"/>
      <c r="O26" s="383"/>
      <c r="P26" s="383"/>
      <c r="Q26" s="391"/>
    </row>
    <row r="27" spans="1:17" x14ac:dyDescent="0.25">
      <c r="A27" s="392"/>
    </row>
    <row r="28" spans="1:17" x14ac:dyDescent="0.25">
      <c r="A28" s="392"/>
    </row>
  </sheetData>
  <mergeCells count="3">
    <mergeCell ref="B5:Q5"/>
    <mergeCell ref="B21:Q21"/>
    <mergeCell ref="B20:Q20"/>
  </mergeCells>
  <phoneticPr fontId="8"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O990"/>
  <sheetViews>
    <sheetView zoomScaleNormal="100" zoomScaleSheetLayoutView="80" workbookViewId="0">
      <pane xSplit="2" ySplit="5" topLeftCell="H86" activePane="bottomRight" state="frozen"/>
      <selection pane="topRight" activeCell="C1" sqref="C1"/>
      <selection pane="bottomLeft" activeCell="A6" sqref="A6"/>
      <selection pane="bottomRight" activeCell="I103" sqref="I103"/>
    </sheetView>
  </sheetViews>
  <sheetFormatPr defaultColWidth="9.140625" defaultRowHeight="15.75" x14ac:dyDescent="0.25"/>
  <cols>
    <col min="1" max="1" width="8.42578125" style="3" customWidth="1"/>
    <col min="2" max="2" width="74.140625" style="122" customWidth="1"/>
    <col min="3" max="3" width="18" style="1" customWidth="1"/>
    <col min="4" max="7" width="17" style="1" customWidth="1"/>
    <col min="8" max="8" width="18.85546875" style="1" customWidth="1"/>
    <col min="9" max="9" width="26.42578125" style="1" bestFit="1" customWidth="1"/>
    <col min="10" max="10" width="9.140625" style="1"/>
    <col min="11" max="11" width="13.42578125" style="1" bestFit="1" customWidth="1"/>
    <col min="12" max="12" width="10.5703125" style="1" bestFit="1" customWidth="1"/>
    <col min="13" max="16384" width="9.140625" style="1"/>
  </cols>
  <sheetData>
    <row r="1" spans="1:9" ht="35.1" customHeight="1" thickBot="1" x14ac:dyDescent="0.3">
      <c r="A1" s="898" t="s">
        <v>992</v>
      </c>
      <c r="B1" s="899"/>
      <c r="C1" s="899"/>
      <c r="D1" s="899"/>
      <c r="E1" s="899"/>
      <c r="F1" s="899"/>
      <c r="G1" s="899"/>
      <c r="H1" s="900"/>
      <c r="I1" s="427"/>
    </row>
    <row r="2" spans="1:9" ht="32.450000000000003" customHeight="1" x14ac:dyDescent="0.25">
      <c r="A2" s="901" t="s">
        <v>1321</v>
      </c>
      <c r="B2" s="902"/>
      <c r="C2" s="902"/>
      <c r="D2" s="902"/>
      <c r="E2" s="902"/>
      <c r="F2" s="902"/>
      <c r="G2" s="902"/>
      <c r="H2" s="903"/>
    </row>
    <row r="3" spans="1:9" s="10" customFormat="1" ht="31.5" customHeight="1" x14ac:dyDescent="0.25">
      <c r="A3" s="888" t="s">
        <v>208</v>
      </c>
      <c r="B3" s="889" t="s">
        <v>335</v>
      </c>
      <c r="C3" s="904">
        <v>2015</v>
      </c>
      <c r="D3" s="904"/>
      <c r="E3" s="904">
        <v>2016</v>
      </c>
      <c r="F3" s="904"/>
      <c r="G3" s="891" t="s">
        <v>990</v>
      </c>
      <c r="H3" s="893"/>
    </row>
    <row r="4" spans="1:9" ht="31.5" customHeight="1" x14ac:dyDescent="0.25">
      <c r="A4" s="888"/>
      <c r="B4" s="890"/>
      <c r="C4" s="395" t="s">
        <v>336</v>
      </c>
      <c r="D4" s="395" t="s">
        <v>337</v>
      </c>
      <c r="E4" s="395" t="s">
        <v>336</v>
      </c>
      <c r="F4" s="395" t="s">
        <v>337</v>
      </c>
      <c r="G4" s="395" t="s">
        <v>336</v>
      </c>
      <c r="H4" s="396" t="s">
        <v>337</v>
      </c>
    </row>
    <row r="5" spans="1:9" x14ac:dyDescent="0.25">
      <c r="A5" s="33"/>
      <c r="B5" s="271"/>
      <c r="C5" s="40" t="s">
        <v>289</v>
      </c>
      <c r="D5" s="40" t="s">
        <v>290</v>
      </c>
      <c r="E5" s="40" t="s">
        <v>291</v>
      </c>
      <c r="F5" s="40" t="s">
        <v>298</v>
      </c>
      <c r="G5" s="40" t="s">
        <v>31</v>
      </c>
      <c r="H5" s="71" t="s">
        <v>32</v>
      </c>
    </row>
    <row r="6" spans="1:9" x14ac:dyDescent="0.25">
      <c r="A6" s="33">
        <v>1</v>
      </c>
      <c r="B6" s="269" t="s">
        <v>1150</v>
      </c>
      <c r="C6" s="439">
        <f>SUM(C7:C18)</f>
        <v>4147897.9200000004</v>
      </c>
      <c r="D6" s="439">
        <f>SUM(D7:D18)</f>
        <v>590395.25</v>
      </c>
      <c r="E6" s="439">
        <f>SUM(E7:E18)</f>
        <v>4058483.0999999996</v>
      </c>
      <c r="F6" s="439">
        <f>SUM(F7:F18)</f>
        <v>671669.08000000007</v>
      </c>
      <c r="G6" s="439">
        <f>E6-C6</f>
        <v>-89414.820000000764</v>
      </c>
      <c r="H6" s="441">
        <f>F6-D6</f>
        <v>81273.830000000075</v>
      </c>
    </row>
    <row r="7" spans="1:9" ht="17.25" customHeight="1" x14ac:dyDescent="0.25">
      <c r="A7" s="33">
        <f>A6+1</f>
        <v>2</v>
      </c>
      <c r="B7" s="266" t="s">
        <v>812</v>
      </c>
      <c r="C7" s="443">
        <v>107934.1</v>
      </c>
      <c r="D7" s="443">
        <v>6692.39</v>
      </c>
      <c r="E7" s="443">
        <v>120338.01</v>
      </c>
      <c r="F7" s="443">
        <v>3729.22</v>
      </c>
      <c r="G7" s="667">
        <f>E7-C7</f>
        <v>12403.909999999989</v>
      </c>
      <c r="H7" s="668">
        <f>F7-D7</f>
        <v>-2963.1700000000005</v>
      </c>
    </row>
    <row r="8" spans="1:9" ht="30.6" customHeight="1" x14ac:dyDescent="0.25">
      <c r="A8" s="33">
        <f t="shared" ref="A8:A71" si="0">A7+1</f>
        <v>3</v>
      </c>
      <c r="B8" s="270" t="s">
        <v>1092</v>
      </c>
      <c r="C8" s="443">
        <v>280659.82</v>
      </c>
      <c r="D8" s="443">
        <v>9519.34</v>
      </c>
      <c r="E8" s="443">
        <v>313432.42</v>
      </c>
      <c r="F8" s="443">
        <v>13983.8</v>
      </c>
      <c r="G8" s="667">
        <f t="shared" ref="G8:H71" si="1">E8-C8</f>
        <v>32772.599999999977</v>
      </c>
      <c r="H8" s="668">
        <f t="shared" si="1"/>
        <v>4464.4599999999991</v>
      </c>
    </row>
    <row r="9" spans="1:9" x14ac:dyDescent="0.25">
      <c r="A9" s="33">
        <f t="shared" si="0"/>
        <v>4</v>
      </c>
      <c r="B9" s="266" t="s">
        <v>813</v>
      </c>
      <c r="C9" s="443">
        <v>412351.69</v>
      </c>
      <c r="D9" s="443">
        <v>71203.22</v>
      </c>
      <c r="E9" s="443">
        <v>386413.24</v>
      </c>
      <c r="F9" s="443">
        <v>58709.38</v>
      </c>
      <c r="G9" s="667">
        <f t="shared" si="1"/>
        <v>-25938.450000000012</v>
      </c>
      <c r="H9" s="668">
        <f t="shared" si="1"/>
        <v>-12493.840000000004</v>
      </c>
    </row>
    <row r="10" spans="1:9" x14ac:dyDescent="0.25">
      <c r="A10" s="33">
        <f t="shared" si="0"/>
        <v>5</v>
      </c>
      <c r="B10" s="266" t="s">
        <v>814</v>
      </c>
      <c r="C10" s="443">
        <v>37448.36</v>
      </c>
      <c r="D10" s="443">
        <v>4196.17</v>
      </c>
      <c r="E10" s="443">
        <v>11727.44</v>
      </c>
      <c r="F10" s="443">
        <v>1041.07</v>
      </c>
      <c r="G10" s="667">
        <f t="shared" si="1"/>
        <v>-25720.92</v>
      </c>
      <c r="H10" s="668">
        <f t="shared" si="1"/>
        <v>-3155.1000000000004</v>
      </c>
    </row>
    <row r="11" spans="1:9" x14ac:dyDescent="0.25">
      <c r="A11" s="33">
        <f t="shared" si="0"/>
        <v>6</v>
      </c>
      <c r="B11" s="266" t="s">
        <v>815</v>
      </c>
      <c r="C11" s="443">
        <v>42641.69</v>
      </c>
      <c r="D11" s="443">
        <v>12405.47</v>
      </c>
      <c r="E11" s="443">
        <v>38427.82</v>
      </c>
      <c r="F11" s="443">
        <v>12326.67</v>
      </c>
      <c r="G11" s="667">
        <f t="shared" si="1"/>
        <v>-4213.8700000000026</v>
      </c>
      <c r="H11" s="668">
        <f t="shared" si="1"/>
        <v>-78.799999999999272</v>
      </c>
    </row>
    <row r="12" spans="1:9" x14ac:dyDescent="0.25">
      <c r="A12" s="33">
        <f t="shared" si="0"/>
        <v>7</v>
      </c>
      <c r="B12" s="266" t="s">
        <v>816</v>
      </c>
      <c r="C12" s="443">
        <v>141666.48000000001</v>
      </c>
      <c r="D12" s="443">
        <v>39071.760000000002</v>
      </c>
      <c r="E12" s="443">
        <v>151381.51999999999</v>
      </c>
      <c r="F12" s="443">
        <v>50847.58</v>
      </c>
      <c r="G12" s="667">
        <f t="shared" si="1"/>
        <v>9715.039999999979</v>
      </c>
      <c r="H12" s="668">
        <f t="shared" si="1"/>
        <v>11775.82</v>
      </c>
    </row>
    <row r="13" spans="1:9" ht="31.5" x14ac:dyDescent="0.25">
      <c r="A13" s="33">
        <f t="shared" si="0"/>
        <v>8</v>
      </c>
      <c r="B13" s="266" t="s">
        <v>112</v>
      </c>
      <c r="C13" s="443">
        <v>202686.07999999999</v>
      </c>
      <c r="D13" s="443">
        <v>37708.949999999997</v>
      </c>
      <c r="E13" s="443">
        <v>215433.59</v>
      </c>
      <c r="F13" s="443">
        <v>58055.66</v>
      </c>
      <c r="G13" s="667">
        <f t="shared" si="1"/>
        <v>12747.510000000009</v>
      </c>
      <c r="H13" s="668">
        <f t="shared" si="1"/>
        <v>20346.710000000006</v>
      </c>
    </row>
    <row r="14" spans="1:9" x14ac:dyDescent="0.25">
      <c r="A14" s="33">
        <f t="shared" si="0"/>
        <v>9</v>
      </c>
      <c r="B14" s="266" t="s">
        <v>113</v>
      </c>
      <c r="C14" s="443">
        <v>515137.42</v>
      </c>
      <c r="D14" s="443">
        <v>233272.04</v>
      </c>
      <c r="E14" s="443">
        <v>486516.12</v>
      </c>
      <c r="F14" s="443">
        <v>277686.18</v>
      </c>
      <c r="G14" s="667">
        <f t="shared" si="1"/>
        <v>-28621.299999999988</v>
      </c>
      <c r="H14" s="668">
        <f t="shared" si="1"/>
        <v>44414.139999999985</v>
      </c>
    </row>
    <row r="15" spans="1:9" x14ac:dyDescent="0.25">
      <c r="A15" s="33">
        <f t="shared" si="0"/>
        <v>10</v>
      </c>
      <c r="B15" s="272" t="s">
        <v>114</v>
      </c>
      <c r="C15" s="443">
        <v>773773.6</v>
      </c>
      <c r="D15" s="443">
        <v>17523.98</v>
      </c>
      <c r="E15" s="443">
        <v>783887.77</v>
      </c>
      <c r="F15" s="443">
        <v>25741.45</v>
      </c>
      <c r="G15" s="667">
        <f t="shared" si="1"/>
        <v>10114.170000000042</v>
      </c>
      <c r="H15" s="668">
        <f t="shared" si="1"/>
        <v>8217.4700000000012</v>
      </c>
    </row>
    <row r="16" spans="1:9" ht="16.149999999999999" customHeight="1" x14ac:dyDescent="0.25">
      <c r="A16" s="33">
        <f t="shared" si="0"/>
        <v>11</v>
      </c>
      <c r="B16" s="266" t="s">
        <v>115</v>
      </c>
      <c r="C16" s="443">
        <v>548135.43000000005</v>
      </c>
      <c r="D16" s="443">
        <v>31143.53</v>
      </c>
      <c r="E16" s="443">
        <v>447943.36</v>
      </c>
      <c r="F16" s="443">
        <v>28602.04</v>
      </c>
      <c r="G16" s="667">
        <f t="shared" si="1"/>
        <v>-100192.07000000007</v>
      </c>
      <c r="H16" s="668">
        <f t="shared" si="1"/>
        <v>-2541.489999999998</v>
      </c>
    </row>
    <row r="17" spans="1:8" x14ac:dyDescent="0.25">
      <c r="A17" s="33">
        <f t="shared" si="0"/>
        <v>12</v>
      </c>
      <c r="B17" s="272" t="s">
        <v>710</v>
      </c>
      <c r="C17" s="443">
        <v>574197.75</v>
      </c>
      <c r="D17" s="443">
        <v>49671.4</v>
      </c>
      <c r="E17" s="443">
        <v>608359.85</v>
      </c>
      <c r="F17" s="443">
        <v>54210.05</v>
      </c>
      <c r="G17" s="667">
        <f t="shared" si="1"/>
        <v>34162.099999999977</v>
      </c>
      <c r="H17" s="668">
        <f t="shared" si="1"/>
        <v>4538.6500000000015</v>
      </c>
    </row>
    <row r="18" spans="1:8" x14ac:dyDescent="0.25">
      <c r="A18" s="33">
        <f t="shared" si="0"/>
        <v>13</v>
      </c>
      <c r="B18" s="266" t="s">
        <v>1077</v>
      </c>
      <c r="C18" s="443">
        <v>511265.5</v>
      </c>
      <c r="D18" s="443">
        <v>77987</v>
      </c>
      <c r="E18" s="443">
        <v>494621.96</v>
      </c>
      <c r="F18" s="443">
        <v>86735.98</v>
      </c>
      <c r="G18" s="667">
        <f t="shared" si="1"/>
        <v>-16643.539999999979</v>
      </c>
      <c r="H18" s="668">
        <f t="shared" si="1"/>
        <v>8748.9799999999959</v>
      </c>
    </row>
    <row r="19" spans="1:8" x14ac:dyDescent="0.25">
      <c r="A19" s="33">
        <f t="shared" si="0"/>
        <v>14</v>
      </c>
      <c r="B19" s="269" t="s">
        <v>1151</v>
      </c>
      <c r="C19" s="439">
        <f>SUM(C20:C25)</f>
        <v>4910395.18</v>
      </c>
      <c r="D19" s="439">
        <f>SUM(D20:D25)</f>
        <v>656415.07999999996</v>
      </c>
      <c r="E19" s="439">
        <f>SUM(E20:E25)</f>
        <v>5269968.97</v>
      </c>
      <c r="F19" s="439">
        <f>SUM(F20:F25)</f>
        <v>605247.05999999994</v>
      </c>
      <c r="G19" s="439">
        <f t="shared" si="1"/>
        <v>359573.79000000004</v>
      </c>
      <c r="H19" s="441">
        <f t="shared" si="1"/>
        <v>-51168.020000000019</v>
      </c>
    </row>
    <row r="20" spans="1:8" x14ac:dyDescent="0.25">
      <c r="A20" s="33">
        <f t="shared" si="0"/>
        <v>15</v>
      </c>
      <c r="B20" s="266" t="s">
        <v>817</v>
      </c>
      <c r="C20" s="443">
        <v>1326896.6100000001</v>
      </c>
      <c r="D20" s="443">
        <v>200610.02</v>
      </c>
      <c r="E20" s="443">
        <v>1655819.91</v>
      </c>
      <c r="F20" s="443">
        <v>201502.22</v>
      </c>
      <c r="G20" s="667">
        <f t="shared" si="1"/>
        <v>328923.29999999981</v>
      </c>
      <c r="H20" s="668">
        <f t="shared" si="1"/>
        <v>892.20000000001164</v>
      </c>
    </row>
    <row r="21" spans="1:8" x14ac:dyDescent="0.25">
      <c r="A21" s="33">
        <f t="shared" si="0"/>
        <v>16</v>
      </c>
      <c r="B21" s="266" t="s">
        <v>818</v>
      </c>
      <c r="C21" s="443">
        <v>3077979.36</v>
      </c>
      <c r="D21" s="443">
        <v>99897.37</v>
      </c>
      <c r="E21" s="443">
        <v>3161845.86</v>
      </c>
      <c r="F21" s="443">
        <v>78271.429999999993</v>
      </c>
      <c r="G21" s="667">
        <f t="shared" si="1"/>
        <v>83866.5</v>
      </c>
      <c r="H21" s="668">
        <f t="shared" si="1"/>
        <v>-21625.940000000002</v>
      </c>
    </row>
    <row r="22" spans="1:8" x14ac:dyDescent="0.25">
      <c r="A22" s="33">
        <f t="shared" si="0"/>
        <v>17</v>
      </c>
      <c r="B22" s="266" t="s">
        <v>819</v>
      </c>
      <c r="C22" s="443">
        <v>295945.90000000002</v>
      </c>
      <c r="D22" s="443">
        <v>56439.08</v>
      </c>
      <c r="E22" s="443">
        <v>258878.17</v>
      </c>
      <c r="F22" s="443">
        <v>61336.22</v>
      </c>
      <c r="G22" s="667">
        <f t="shared" si="1"/>
        <v>-37067.73000000001</v>
      </c>
      <c r="H22" s="668">
        <f t="shared" si="1"/>
        <v>4897.1399999999994</v>
      </c>
    </row>
    <row r="23" spans="1:8" x14ac:dyDescent="0.25">
      <c r="A23" s="33">
        <f t="shared" si="0"/>
        <v>18</v>
      </c>
      <c r="B23" s="266" t="s">
        <v>820</v>
      </c>
      <c r="C23" s="443">
        <v>209454.13</v>
      </c>
      <c r="D23" s="443">
        <v>272516.01</v>
      </c>
      <c r="E23" s="443">
        <v>193381.92</v>
      </c>
      <c r="F23" s="443">
        <v>250179.96</v>
      </c>
      <c r="G23" s="667">
        <f t="shared" si="1"/>
        <v>-16072.209999999992</v>
      </c>
      <c r="H23" s="668">
        <f t="shared" si="1"/>
        <v>-22336.050000000017</v>
      </c>
    </row>
    <row r="24" spans="1:8" x14ac:dyDescent="0.25">
      <c r="A24" s="33">
        <f t="shared" si="0"/>
        <v>19</v>
      </c>
      <c r="B24" s="266" t="s">
        <v>821</v>
      </c>
      <c r="C24" s="443">
        <v>119.18</v>
      </c>
      <c r="D24" s="443">
        <v>0</v>
      </c>
      <c r="E24" s="443">
        <v>43.11</v>
      </c>
      <c r="F24" s="443">
        <v>0</v>
      </c>
      <c r="G24" s="667">
        <f t="shared" si="1"/>
        <v>-76.070000000000007</v>
      </c>
      <c r="H24" s="668">
        <f t="shared" si="1"/>
        <v>0</v>
      </c>
    </row>
    <row r="25" spans="1:8" x14ac:dyDescent="0.25">
      <c r="A25" s="33">
        <f t="shared" si="0"/>
        <v>20</v>
      </c>
      <c r="B25" s="266" t="s">
        <v>1078</v>
      </c>
      <c r="C25" s="443">
        <v>0</v>
      </c>
      <c r="D25" s="443">
        <v>26952.6</v>
      </c>
      <c r="E25" s="443">
        <v>0</v>
      </c>
      <c r="F25" s="443">
        <v>13957.23</v>
      </c>
      <c r="G25" s="667">
        <f t="shared" si="1"/>
        <v>0</v>
      </c>
      <c r="H25" s="668">
        <f t="shared" si="1"/>
        <v>-12995.369999999999</v>
      </c>
    </row>
    <row r="26" spans="1:8" x14ac:dyDescent="0.25">
      <c r="A26" s="33">
        <f t="shared" si="0"/>
        <v>21</v>
      </c>
      <c r="B26" s="269" t="s">
        <v>330</v>
      </c>
      <c r="C26" s="669" t="s">
        <v>320</v>
      </c>
      <c r="D26" s="669" t="s">
        <v>320</v>
      </c>
      <c r="E26" s="669" t="s">
        <v>320</v>
      </c>
      <c r="F26" s="669" t="s">
        <v>320</v>
      </c>
      <c r="G26" s="670" t="s">
        <v>161</v>
      </c>
      <c r="H26" s="671" t="s">
        <v>161</v>
      </c>
    </row>
    <row r="27" spans="1:8" x14ac:dyDescent="0.25">
      <c r="A27" s="33">
        <f t="shared" si="0"/>
        <v>22</v>
      </c>
      <c r="B27" s="269" t="s">
        <v>1152</v>
      </c>
      <c r="C27" s="439">
        <f>SUM(C28:C31)</f>
        <v>0</v>
      </c>
      <c r="D27" s="439">
        <f>SUM(D28:D31)</f>
        <v>56025.950000000004</v>
      </c>
      <c r="E27" s="439">
        <f>SUM(E28:E31)</f>
        <v>0</v>
      </c>
      <c r="F27" s="439">
        <f>SUM(F28:F31)</f>
        <v>60690.89</v>
      </c>
      <c r="G27" s="439">
        <f t="shared" si="1"/>
        <v>0</v>
      </c>
      <c r="H27" s="441">
        <f t="shared" si="1"/>
        <v>4664.9399999999951</v>
      </c>
    </row>
    <row r="28" spans="1:8" x14ac:dyDescent="0.25">
      <c r="A28" s="33">
        <f t="shared" si="0"/>
        <v>23</v>
      </c>
      <c r="B28" s="266" t="s">
        <v>281</v>
      </c>
      <c r="C28" s="443">
        <v>0</v>
      </c>
      <c r="D28" s="443">
        <v>0</v>
      </c>
      <c r="E28" s="443">
        <v>0</v>
      </c>
      <c r="F28" s="443">
        <v>0</v>
      </c>
      <c r="G28" s="667">
        <f t="shared" si="1"/>
        <v>0</v>
      </c>
      <c r="H28" s="668">
        <f t="shared" si="1"/>
        <v>0</v>
      </c>
    </row>
    <row r="29" spans="1:8" x14ac:dyDescent="0.25">
      <c r="A29" s="33">
        <f t="shared" si="0"/>
        <v>24</v>
      </c>
      <c r="B29" s="270" t="s">
        <v>305</v>
      </c>
      <c r="C29" s="443">
        <v>0</v>
      </c>
      <c r="D29" s="443">
        <v>0</v>
      </c>
      <c r="E29" s="443">
        <v>0</v>
      </c>
      <c r="F29" s="443">
        <v>0</v>
      </c>
      <c r="G29" s="667">
        <f t="shared" si="1"/>
        <v>0</v>
      </c>
      <c r="H29" s="668">
        <f t="shared" si="1"/>
        <v>0</v>
      </c>
    </row>
    <row r="30" spans="1:8" x14ac:dyDescent="0.25">
      <c r="A30" s="33">
        <f t="shared" si="0"/>
        <v>25</v>
      </c>
      <c r="B30" s="270" t="s">
        <v>62</v>
      </c>
      <c r="C30" s="443">
        <v>0</v>
      </c>
      <c r="D30" s="443">
        <v>51352.05</v>
      </c>
      <c r="E30" s="443">
        <v>0</v>
      </c>
      <c r="F30" s="443">
        <v>0</v>
      </c>
      <c r="G30" s="667">
        <f t="shared" si="1"/>
        <v>0</v>
      </c>
      <c r="H30" s="668">
        <f t="shared" si="1"/>
        <v>-51352.05</v>
      </c>
    </row>
    <row r="31" spans="1:8" x14ac:dyDescent="0.25">
      <c r="A31" s="33">
        <f t="shared" si="0"/>
        <v>26</v>
      </c>
      <c r="B31" s="266" t="s">
        <v>63</v>
      </c>
      <c r="C31" s="443">
        <v>0</v>
      </c>
      <c r="D31" s="443">
        <v>4673.8999999999996</v>
      </c>
      <c r="E31" s="443">
        <v>0</v>
      </c>
      <c r="F31" s="443">
        <v>60690.89</v>
      </c>
      <c r="G31" s="667">
        <f t="shared" si="1"/>
        <v>0</v>
      </c>
      <c r="H31" s="668">
        <f t="shared" si="1"/>
        <v>56016.99</v>
      </c>
    </row>
    <row r="32" spans="1:8" x14ac:dyDescent="0.25">
      <c r="A32" s="33">
        <f t="shared" si="0"/>
        <v>27</v>
      </c>
      <c r="B32" s="269" t="s">
        <v>1153</v>
      </c>
      <c r="C32" s="439">
        <f>SUM(C33:C39)</f>
        <v>3458661.4600000009</v>
      </c>
      <c r="D32" s="439">
        <f>SUM(D33:D39)</f>
        <v>240484.62</v>
      </c>
      <c r="E32" s="439">
        <f>SUM(E33:E39)</f>
        <v>3065296.36</v>
      </c>
      <c r="F32" s="439">
        <f>SUM(F33:F39)</f>
        <v>256183.56</v>
      </c>
      <c r="G32" s="439">
        <f t="shared" si="1"/>
        <v>-393365.10000000102</v>
      </c>
      <c r="H32" s="441">
        <f t="shared" si="1"/>
        <v>15698.940000000002</v>
      </c>
    </row>
    <row r="33" spans="1:8" x14ac:dyDescent="0.25">
      <c r="A33" s="33">
        <f t="shared" si="0"/>
        <v>28</v>
      </c>
      <c r="B33" s="266" t="s">
        <v>116</v>
      </c>
      <c r="C33" s="443">
        <v>2737517.43</v>
      </c>
      <c r="D33" s="443">
        <v>121578.92</v>
      </c>
      <c r="E33" s="443">
        <v>2190909.4399999999</v>
      </c>
      <c r="F33" s="443">
        <v>149226.69</v>
      </c>
      <c r="G33" s="667">
        <f t="shared" si="1"/>
        <v>-546607.99000000022</v>
      </c>
      <c r="H33" s="668">
        <f t="shared" si="1"/>
        <v>27647.770000000004</v>
      </c>
    </row>
    <row r="34" spans="1:8" x14ac:dyDescent="0.25">
      <c r="A34" s="33">
        <f t="shared" si="0"/>
        <v>29</v>
      </c>
      <c r="B34" s="266" t="s">
        <v>117</v>
      </c>
      <c r="C34" s="443">
        <v>243146.48</v>
      </c>
      <c r="D34" s="443">
        <v>65673.820000000007</v>
      </c>
      <c r="E34" s="443">
        <v>342917.53</v>
      </c>
      <c r="F34" s="443">
        <v>39988.68</v>
      </c>
      <c r="G34" s="667">
        <f t="shared" si="1"/>
        <v>99771.050000000017</v>
      </c>
      <c r="H34" s="668">
        <f t="shared" si="1"/>
        <v>-25685.140000000007</v>
      </c>
    </row>
    <row r="35" spans="1:8" x14ac:dyDescent="0.25">
      <c r="A35" s="33">
        <f t="shared" si="0"/>
        <v>30</v>
      </c>
      <c r="B35" s="266" t="s">
        <v>118</v>
      </c>
      <c r="C35" s="443">
        <v>26171.200000000001</v>
      </c>
      <c r="D35" s="443">
        <v>8409.34</v>
      </c>
      <c r="E35" s="443">
        <v>19097.2</v>
      </c>
      <c r="F35" s="443">
        <v>7649.18</v>
      </c>
      <c r="G35" s="667">
        <f t="shared" si="1"/>
        <v>-7074</v>
      </c>
      <c r="H35" s="668">
        <f t="shared" si="1"/>
        <v>-760.15999999999985</v>
      </c>
    </row>
    <row r="36" spans="1:8" x14ac:dyDescent="0.25">
      <c r="A36" s="33">
        <f t="shared" si="0"/>
        <v>31</v>
      </c>
      <c r="B36" s="266" t="s">
        <v>119</v>
      </c>
      <c r="C36" s="443">
        <v>262319.33</v>
      </c>
      <c r="D36" s="443">
        <v>18750.330000000002</v>
      </c>
      <c r="E36" s="443">
        <v>305703.56</v>
      </c>
      <c r="F36" s="443">
        <v>18719.759999999998</v>
      </c>
      <c r="G36" s="667">
        <f t="shared" si="1"/>
        <v>43384.229999999981</v>
      </c>
      <c r="H36" s="668">
        <f t="shared" si="1"/>
        <v>-30.570000000003347</v>
      </c>
    </row>
    <row r="37" spans="1:8" x14ac:dyDescent="0.25">
      <c r="A37" s="33">
        <f t="shared" si="0"/>
        <v>32</v>
      </c>
      <c r="B37" s="272" t="s">
        <v>121</v>
      </c>
      <c r="C37" s="443">
        <v>16655.490000000002</v>
      </c>
      <c r="D37" s="443">
        <v>0</v>
      </c>
      <c r="E37" s="443">
        <v>4097.0200000000004</v>
      </c>
      <c r="F37" s="443">
        <v>42.75</v>
      </c>
      <c r="G37" s="667">
        <f t="shared" si="1"/>
        <v>-12558.470000000001</v>
      </c>
      <c r="H37" s="668">
        <f t="shared" si="1"/>
        <v>42.75</v>
      </c>
    </row>
    <row r="38" spans="1:8" x14ac:dyDescent="0.25">
      <c r="A38" s="33">
        <f t="shared" si="0"/>
        <v>33</v>
      </c>
      <c r="B38" s="306" t="s">
        <v>865</v>
      </c>
      <c r="C38" s="443">
        <v>87230.54</v>
      </c>
      <c r="D38" s="443">
        <v>12077.1</v>
      </c>
      <c r="E38" s="443">
        <v>65398.31</v>
      </c>
      <c r="F38" s="443">
        <v>30856.21</v>
      </c>
      <c r="G38" s="667">
        <f t="shared" si="1"/>
        <v>-21832.229999999996</v>
      </c>
      <c r="H38" s="668">
        <f t="shared" si="1"/>
        <v>18779.11</v>
      </c>
    </row>
    <row r="39" spans="1:8" x14ac:dyDescent="0.25">
      <c r="A39" s="33">
        <f t="shared" si="0"/>
        <v>34</v>
      </c>
      <c r="B39" s="266" t="s">
        <v>122</v>
      </c>
      <c r="C39" s="443">
        <v>85620.99</v>
      </c>
      <c r="D39" s="443">
        <v>13995.11</v>
      </c>
      <c r="E39" s="443">
        <v>137173.29999999999</v>
      </c>
      <c r="F39" s="443">
        <v>9700.2900000000009</v>
      </c>
      <c r="G39" s="667">
        <f t="shared" si="1"/>
        <v>51552.309999999983</v>
      </c>
      <c r="H39" s="668">
        <f t="shared" si="1"/>
        <v>-4294.82</v>
      </c>
    </row>
    <row r="40" spans="1:8" x14ac:dyDescent="0.25">
      <c r="A40" s="33">
        <f t="shared" si="0"/>
        <v>35</v>
      </c>
      <c r="B40" s="269" t="s">
        <v>1154</v>
      </c>
      <c r="C40" s="439">
        <f>C41+C42</f>
        <v>1138275.81</v>
      </c>
      <c r="D40" s="439">
        <f>D41+D42</f>
        <v>99600.15</v>
      </c>
      <c r="E40" s="439">
        <f>E41+E42</f>
        <v>1018006.96</v>
      </c>
      <c r="F40" s="439">
        <f>F41+F42</f>
        <v>81575.520000000004</v>
      </c>
      <c r="G40" s="439">
        <f t="shared" si="1"/>
        <v>-120268.85000000009</v>
      </c>
      <c r="H40" s="441">
        <f t="shared" si="1"/>
        <v>-18024.62999999999</v>
      </c>
    </row>
    <row r="41" spans="1:8" x14ac:dyDescent="0.25">
      <c r="A41" s="33">
        <f t="shared" si="0"/>
        <v>36</v>
      </c>
      <c r="B41" s="266" t="s">
        <v>822</v>
      </c>
      <c r="C41" s="443">
        <v>158051.35</v>
      </c>
      <c r="D41" s="443">
        <v>69850.97</v>
      </c>
      <c r="E41" s="443">
        <v>159448.49</v>
      </c>
      <c r="F41" s="443">
        <v>59400.71</v>
      </c>
      <c r="G41" s="667">
        <f t="shared" si="1"/>
        <v>1397.1399999999849</v>
      </c>
      <c r="H41" s="668">
        <f t="shared" si="1"/>
        <v>-10450.260000000002</v>
      </c>
    </row>
    <row r="42" spans="1:8" x14ac:dyDescent="0.25">
      <c r="A42" s="33">
        <f t="shared" si="0"/>
        <v>37</v>
      </c>
      <c r="B42" s="266" t="s">
        <v>823</v>
      </c>
      <c r="C42" s="443">
        <v>980224.46</v>
      </c>
      <c r="D42" s="443">
        <v>29749.18</v>
      </c>
      <c r="E42" s="443">
        <v>858558.47</v>
      </c>
      <c r="F42" s="443">
        <v>22174.81</v>
      </c>
      <c r="G42" s="667">
        <f t="shared" si="1"/>
        <v>-121665.98999999999</v>
      </c>
      <c r="H42" s="668">
        <f t="shared" si="1"/>
        <v>-7574.369999999999</v>
      </c>
    </row>
    <row r="43" spans="1:8" x14ac:dyDescent="0.25">
      <c r="A43" s="33">
        <f t="shared" si="0"/>
        <v>38</v>
      </c>
      <c r="B43" s="269" t="s">
        <v>331</v>
      </c>
      <c r="C43" s="532">
        <v>96249.11</v>
      </c>
      <c r="D43" s="532">
        <v>12862.97</v>
      </c>
      <c r="E43" s="532">
        <v>88287.61</v>
      </c>
      <c r="F43" s="532">
        <v>8808.64</v>
      </c>
      <c r="G43" s="667">
        <f t="shared" si="1"/>
        <v>-7961.5</v>
      </c>
      <c r="H43" s="668">
        <f t="shared" si="1"/>
        <v>-4054.33</v>
      </c>
    </row>
    <row r="44" spans="1:8" x14ac:dyDescent="0.25">
      <c r="A44" s="33">
        <f t="shared" si="0"/>
        <v>39</v>
      </c>
      <c r="B44" s="269" t="s">
        <v>1155</v>
      </c>
      <c r="C44" s="439">
        <f>SUM(C45:C59)</f>
        <v>6847764.0099999998</v>
      </c>
      <c r="D44" s="439">
        <f>SUM(D45:D59)</f>
        <v>752933.21</v>
      </c>
      <c r="E44" s="439">
        <f>SUM(E45:E59)</f>
        <v>4798489.18</v>
      </c>
      <c r="F44" s="439">
        <f>SUM(F45:F59)</f>
        <v>616520.47</v>
      </c>
      <c r="G44" s="439">
        <f t="shared" si="1"/>
        <v>-2049274.83</v>
      </c>
      <c r="H44" s="441">
        <f t="shared" si="1"/>
        <v>-136412.74</v>
      </c>
    </row>
    <row r="45" spans="1:8" x14ac:dyDescent="0.25">
      <c r="A45" s="33">
        <f t="shared" si="0"/>
        <v>40</v>
      </c>
      <c r="B45" s="266" t="s">
        <v>124</v>
      </c>
      <c r="C45" s="443">
        <v>29890.76</v>
      </c>
      <c r="D45" s="443">
        <v>1811.36</v>
      </c>
      <c r="E45" s="443">
        <v>42450.25</v>
      </c>
      <c r="F45" s="443">
        <v>1497.49</v>
      </c>
      <c r="G45" s="667">
        <f t="shared" si="1"/>
        <v>12559.490000000002</v>
      </c>
      <c r="H45" s="668">
        <f t="shared" si="1"/>
        <v>-313.86999999999989</v>
      </c>
    </row>
    <row r="46" spans="1:8" x14ac:dyDescent="0.25">
      <c r="A46" s="33">
        <f t="shared" si="0"/>
        <v>41</v>
      </c>
      <c r="B46" s="266" t="s">
        <v>123</v>
      </c>
      <c r="C46" s="443">
        <v>51806.62</v>
      </c>
      <c r="D46" s="443">
        <v>15081.87</v>
      </c>
      <c r="E46" s="443">
        <v>50647.3</v>
      </c>
      <c r="F46" s="443">
        <v>18735.87</v>
      </c>
      <c r="G46" s="667">
        <f t="shared" si="1"/>
        <v>-1159.3199999999997</v>
      </c>
      <c r="H46" s="668">
        <f t="shared" si="1"/>
        <v>3653.9999999999982</v>
      </c>
    </row>
    <row r="47" spans="1:8" x14ac:dyDescent="0.25">
      <c r="A47" s="33">
        <f t="shared" si="0"/>
        <v>42</v>
      </c>
      <c r="B47" s="266" t="s">
        <v>125</v>
      </c>
      <c r="C47" s="443">
        <v>593752.59</v>
      </c>
      <c r="D47" s="443">
        <v>30211.39</v>
      </c>
      <c r="E47" s="443">
        <v>596851.53</v>
      </c>
      <c r="F47" s="443">
        <v>34794.28</v>
      </c>
      <c r="G47" s="667">
        <f t="shared" si="1"/>
        <v>3098.9400000000605</v>
      </c>
      <c r="H47" s="668">
        <f t="shared" si="1"/>
        <v>4582.8899999999994</v>
      </c>
    </row>
    <row r="48" spans="1:8" x14ac:dyDescent="0.25">
      <c r="A48" s="33">
        <f t="shared" si="0"/>
        <v>43</v>
      </c>
      <c r="B48" s="266" t="s">
        <v>126</v>
      </c>
      <c r="C48" s="443">
        <v>335673.7</v>
      </c>
      <c r="D48" s="443">
        <v>9306.1299999999992</v>
      </c>
      <c r="E48" s="443">
        <v>49791.79</v>
      </c>
      <c r="F48" s="443">
        <v>4428.2299999999996</v>
      </c>
      <c r="G48" s="667">
        <f t="shared" si="1"/>
        <v>-285881.91000000003</v>
      </c>
      <c r="H48" s="668">
        <f t="shared" si="1"/>
        <v>-4877.8999999999996</v>
      </c>
    </row>
    <row r="49" spans="1:15" x14ac:dyDescent="0.25">
      <c r="A49" s="33">
        <f t="shared" si="0"/>
        <v>44</v>
      </c>
      <c r="B49" s="266" t="s">
        <v>824</v>
      </c>
      <c r="C49" s="443">
        <v>185514.78</v>
      </c>
      <c r="D49" s="443">
        <v>28997.83</v>
      </c>
      <c r="E49" s="443">
        <v>165257.93</v>
      </c>
      <c r="F49" s="443">
        <v>28396.21</v>
      </c>
      <c r="G49" s="667">
        <f t="shared" si="1"/>
        <v>-20256.850000000006</v>
      </c>
      <c r="H49" s="668">
        <f t="shared" si="1"/>
        <v>-601.62000000000262</v>
      </c>
    </row>
    <row r="50" spans="1:15" x14ac:dyDescent="0.25">
      <c r="A50" s="33">
        <f t="shared" si="0"/>
        <v>45</v>
      </c>
      <c r="B50" s="266" t="s">
        <v>127</v>
      </c>
      <c r="C50" s="443">
        <v>90479.38</v>
      </c>
      <c r="D50" s="443">
        <v>7867.1</v>
      </c>
      <c r="E50" s="443">
        <v>68840.75</v>
      </c>
      <c r="F50" s="443">
        <v>3159.56</v>
      </c>
      <c r="G50" s="667">
        <f t="shared" si="1"/>
        <v>-21638.630000000005</v>
      </c>
      <c r="H50" s="668">
        <f t="shared" si="1"/>
        <v>-4707.5400000000009</v>
      </c>
    </row>
    <row r="51" spans="1:15" x14ac:dyDescent="0.25">
      <c r="A51" s="33">
        <f t="shared" si="0"/>
        <v>46</v>
      </c>
      <c r="B51" s="266" t="s">
        <v>825</v>
      </c>
      <c r="C51" s="443">
        <v>60387.61</v>
      </c>
      <c r="D51" s="443">
        <v>7887.19</v>
      </c>
      <c r="E51" s="443">
        <v>50789.02</v>
      </c>
      <c r="F51" s="443">
        <v>9082.5499999999993</v>
      </c>
      <c r="G51" s="667">
        <f t="shared" si="1"/>
        <v>-9598.5900000000038</v>
      </c>
      <c r="H51" s="668">
        <f t="shared" si="1"/>
        <v>1195.3599999999997</v>
      </c>
    </row>
    <row r="52" spans="1:15" x14ac:dyDescent="0.25">
      <c r="A52" s="33">
        <f t="shared" si="0"/>
        <v>47</v>
      </c>
      <c r="B52" s="266" t="s">
        <v>826</v>
      </c>
      <c r="C52" s="443">
        <v>139402.5</v>
      </c>
      <c r="D52" s="443">
        <v>23200.04</v>
      </c>
      <c r="E52" s="443">
        <v>135574.35</v>
      </c>
      <c r="F52" s="443">
        <v>19520.830000000002</v>
      </c>
      <c r="G52" s="667">
        <f t="shared" si="1"/>
        <v>-3828.1499999999942</v>
      </c>
      <c r="H52" s="668">
        <f t="shared" si="1"/>
        <v>-3679.2099999999991</v>
      </c>
    </row>
    <row r="53" spans="1:15" x14ac:dyDescent="0.25">
      <c r="A53" s="33">
        <f t="shared" si="0"/>
        <v>48</v>
      </c>
      <c r="B53" s="266" t="s">
        <v>128</v>
      </c>
      <c r="C53" s="443">
        <v>158187.24</v>
      </c>
      <c r="D53" s="443">
        <v>10387.15</v>
      </c>
      <c r="E53" s="443">
        <v>221533.43</v>
      </c>
      <c r="F53" s="443">
        <v>19380.830000000002</v>
      </c>
      <c r="G53" s="667">
        <f t="shared" si="1"/>
        <v>63346.19</v>
      </c>
      <c r="H53" s="668">
        <f t="shared" si="1"/>
        <v>8993.6800000000021</v>
      </c>
    </row>
    <row r="54" spans="1:15" x14ac:dyDescent="0.25">
      <c r="A54" s="33">
        <f t="shared" si="0"/>
        <v>49</v>
      </c>
      <c r="B54" s="266" t="s">
        <v>129</v>
      </c>
      <c r="C54" s="443">
        <v>283244.46999999997</v>
      </c>
      <c r="D54" s="443">
        <v>6130.87</v>
      </c>
      <c r="E54" s="443">
        <v>279575.88</v>
      </c>
      <c r="F54" s="443">
        <v>6300</v>
      </c>
      <c r="G54" s="667">
        <f t="shared" si="1"/>
        <v>-3668.5899999999674</v>
      </c>
      <c r="H54" s="668">
        <f t="shared" si="1"/>
        <v>169.13000000000011</v>
      </c>
    </row>
    <row r="55" spans="1:15" x14ac:dyDescent="0.25">
      <c r="A55" s="33">
        <f t="shared" si="0"/>
        <v>50</v>
      </c>
      <c r="B55" s="266" t="s">
        <v>1079</v>
      </c>
      <c r="C55" s="443">
        <v>244276.52</v>
      </c>
      <c r="D55" s="443">
        <v>9516.02</v>
      </c>
      <c r="E55" s="443">
        <v>286209.77</v>
      </c>
      <c r="F55" s="443">
        <v>4315.42</v>
      </c>
      <c r="G55" s="667">
        <f t="shared" si="1"/>
        <v>41933.250000000029</v>
      </c>
      <c r="H55" s="668">
        <f t="shared" si="1"/>
        <v>-5200.6000000000004</v>
      </c>
    </row>
    <row r="56" spans="1:15" x14ac:dyDescent="0.25">
      <c r="A56" s="33">
        <f t="shared" si="0"/>
        <v>51</v>
      </c>
      <c r="B56" s="266" t="s">
        <v>100</v>
      </c>
      <c r="C56" s="443">
        <v>872771.13</v>
      </c>
      <c r="D56" s="443">
        <v>2716</v>
      </c>
      <c r="E56" s="443">
        <v>61737.68</v>
      </c>
      <c r="F56" s="443">
        <v>2055.96</v>
      </c>
      <c r="G56" s="667">
        <f t="shared" si="1"/>
        <v>-811033.45</v>
      </c>
      <c r="H56" s="668">
        <f t="shared" si="1"/>
        <v>-660.04</v>
      </c>
    </row>
    <row r="57" spans="1:15" x14ac:dyDescent="0.25">
      <c r="A57" s="33">
        <f t="shared" si="0"/>
        <v>52</v>
      </c>
      <c r="B57" s="266" t="s">
        <v>101</v>
      </c>
      <c r="C57" s="443">
        <v>8352.4</v>
      </c>
      <c r="D57" s="443">
        <v>0</v>
      </c>
      <c r="E57" s="443">
        <v>5712</v>
      </c>
      <c r="F57" s="443">
        <v>2000</v>
      </c>
      <c r="G57" s="667">
        <f t="shared" si="1"/>
        <v>-2640.3999999999996</v>
      </c>
      <c r="H57" s="668">
        <f t="shared" si="1"/>
        <v>2000</v>
      </c>
    </row>
    <row r="58" spans="1:15" ht="31.5" x14ac:dyDescent="0.25">
      <c r="A58" s="33">
        <f t="shared" si="0"/>
        <v>53</v>
      </c>
      <c r="B58" s="266" t="s">
        <v>1093</v>
      </c>
      <c r="C58" s="443">
        <v>1324556.05</v>
      </c>
      <c r="D58" s="443">
        <v>178176.55</v>
      </c>
      <c r="E58" s="443">
        <v>1381290.04</v>
      </c>
      <c r="F58" s="443">
        <v>223374.3</v>
      </c>
      <c r="G58" s="667">
        <f t="shared" si="1"/>
        <v>56733.989999999991</v>
      </c>
      <c r="H58" s="668">
        <f t="shared" si="1"/>
        <v>45197.75</v>
      </c>
      <c r="I58" s="182"/>
    </row>
    <row r="59" spans="1:15" x14ac:dyDescent="0.25">
      <c r="A59" s="33">
        <f t="shared" si="0"/>
        <v>54</v>
      </c>
      <c r="B59" s="266" t="s">
        <v>130</v>
      </c>
      <c r="C59" s="443">
        <v>2469468.2599999998</v>
      </c>
      <c r="D59" s="443">
        <v>421643.71</v>
      </c>
      <c r="E59" s="443">
        <v>1402227.46</v>
      </c>
      <c r="F59" s="443">
        <v>239478.94</v>
      </c>
      <c r="G59" s="667">
        <f t="shared" si="1"/>
        <v>-1067240.7999999998</v>
      </c>
      <c r="H59" s="668">
        <f t="shared" si="1"/>
        <v>-182164.77000000002</v>
      </c>
    </row>
    <row r="60" spans="1:15" x14ac:dyDescent="0.25">
      <c r="A60" s="33">
        <f t="shared" si="0"/>
        <v>55</v>
      </c>
      <c r="B60" s="269" t="s">
        <v>1156</v>
      </c>
      <c r="C60" s="439">
        <f>C61+C62</f>
        <v>33337827.379999999</v>
      </c>
      <c r="D60" s="439">
        <f>D61+D62</f>
        <v>2661490.4400000004</v>
      </c>
      <c r="E60" s="439">
        <f>E61+E62</f>
        <v>34381153.32</v>
      </c>
      <c r="F60" s="439">
        <f>F61+F62</f>
        <v>2881197.8099999996</v>
      </c>
      <c r="G60" s="439">
        <f t="shared" si="1"/>
        <v>1043325.9400000013</v>
      </c>
      <c r="H60" s="441">
        <f t="shared" si="1"/>
        <v>219707.36999999918</v>
      </c>
    </row>
    <row r="61" spans="1:15" x14ac:dyDescent="0.25">
      <c r="A61" s="33">
        <f t="shared" si="0"/>
        <v>56</v>
      </c>
      <c r="B61" s="266" t="s">
        <v>1108</v>
      </c>
      <c r="C61" s="533">
        <v>32543691.149999999</v>
      </c>
      <c r="D61" s="443">
        <v>2344278.16</v>
      </c>
      <c r="E61" s="443">
        <v>33619571.920000002</v>
      </c>
      <c r="F61" s="443">
        <v>2523688.0699999998</v>
      </c>
      <c r="G61" s="667">
        <f t="shared" si="1"/>
        <v>1075880.7700000033</v>
      </c>
      <c r="H61" s="668">
        <f t="shared" si="1"/>
        <v>179409.90999999968</v>
      </c>
      <c r="I61" s="830"/>
      <c r="J61" s="831"/>
      <c r="K61" s="832"/>
      <c r="L61" s="45"/>
      <c r="M61" s="833"/>
      <c r="N61" s="45"/>
      <c r="O61" s="45"/>
    </row>
    <row r="62" spans="1:15" x14ac:dyDescent="0.25">
      <c r="A62" s="33">
        <f t="shared" si="0"/>
        <v>57</v>
      </c>
      <c r="B62" s="269" t="s">
        <v>1157</v>
      </c>
      <c r="C62" s="439">
        <f>SUM(C63:C65)</f>
        <v>794136.23</v>
      </c>
      <c r="D62" s="439">
        <f>SUM(D63:D65)</f>
        <v>317212.28000000003</v>
      </c>
      <c r="E62" s="439">
        <f>SUM(E63:E65)</f>
        <v>761581.4</v>
      </c>
      <c r="F62" s="439">
        <f>SUM(F63:F65)</f>
        <v>357509.74</v>
      </c>
      <c r="G62" s="439">
        <f t="shared" si="1"/>
        <v>-32554.829999999958</v>
      </c>
      <c r="H62" s="441">
        <f t="shared" si="1"/>
        <v>40297.459999999963</v>
      </c>
      <c r="I62" s="45"/>
      <c r="J62" s="45"/>
      <c r="K62" s="834"/>
      <c r="L62" s="688"/>
      <c r="M62" s="45"/>
      <c r="N62" s="45"/>
      <c r="O62" s="45"/>
    </row>
    <row r="63" spans="1:15" s="127" customFormat="1" ht="16.5" customHeight="1" x14ac:dyDescent="0.2">
      <c r="A63" s="33">
        <f t="shared" si="0"/>
        <v>58</v>
      </c>
      <c r="B63" s="273" t="s">
        <v>13</v>
      </c>
      <c r="C63" s="534">
        <v>485169.79</v>
      </c>
      <c r="D63" s="518">
        <v>277568.52</v>
      </c>
      <c r="E63" s="518">
        <v>648871.61</v>
      </c>
      <c r="F63" s="518">
        <v>308925.34999999998</v>
      </c>
      <c r="G63" s="667">
        <f t="shared" si="1"/>
        <v>163701.82</v>
      </c>
      <c r="H63" s="668">
        <f t="shared" si="1"/>
        <v>31356.829999999958</v>
      </c>
      <c r="I63" s="835"/>
      <c r="J63" s="835"/>
      <c r="K63" s="835"/>
      <c r="L63" s="835"/>
      <c r="M63" s="835"/>
      <c r="N63" s="835"/>
      <c r="O63" s="835"/>
    </row>
    <row r="64" spans="1:15" ht="31.5" x14ac:dyDescent="0.25">
      <c r="A64" s="33">
        <f t="shared" si="0"/>
        <v>59</v>
      </c>
      <c r="B64" s="273" t="s">
        <v>14</v>
      </c>
      <c r="C64" s="443">
        <v>247289.71</v>
      </c>
      <c r="D64" s="443">
        <v>7908.46</v>
      </c>
      <c r="E64" s="443">
        <v>79532.17</v>
      </c>
      <c r="F64" s="443">
        <v>8159.45</v>
      </c>
      <c r="G64" s="667">
        <f t="shared" si="1"/>
        <v>-167757.53999999998</v>
      </c>
      <c r="H64" s="668">
        <f t="shared" si="1"/>
        <v>250.98999999999978</v>
      </c>
      <c r="I64" s="45"/>
      <c r="J64" s="45"/>
      <c r="K64" s="688"/>
      <c r="L64" s="688"/>
      <c r="M64" s="45"/>
      <c r="N64" s="45"/>
      <c r="O64" s="45"/>
    </row>
    <row r="65" spans="1:15" x14ac:dyDescent="0.25">
      <c r="A65" s="33">
        <f t="shared" si="0"/>
        <v>60</v>
      </c>
      <c r="B65" s="266" t="s">
        <v>246</v>
      </c>
      <c r="C65" s="443">
        <v>61676.73</v>
      </c>
      <c r="D65" s="443">
        <v>31735.3</v>
      </c>
      <c r="E65" s="443">
        <v>33177.620000000003</v>
      </c>
      <c r="F65" s="443">
        <v>40424.94</v>
      </c>
      <c r="G65" s="667">
        <f t="shared" si="1"/>
        <v>-28499.11</v>
      </c>
      <c r="H65" s="668">
        <f t="shared" si="1"/>
        <v>8689.6400000000031</v>
      </c>
      <c r="I65" s="45"/>
      <c r="J65" s="45"/>
      <c r="K65" s="45"/>
      <c r="L65" s="45"/>
      <c r="M65" s="45"/>
      <c r="N65" s="45"/>
      <c r="O65" s="45"/>
    </row>
    <row r="66" spans="1:15" x14ac:dyDescent="0.25">
      <c r="A66" s="33">
        <f t="shared" si="0"/>
        <v>61</v>
      </c>
      <c r="B66" s="269" t="s">
        <v>181</v>
      </c>
      <c r="C66" s="443">
        <v>11416539.51</v>
      </c>
      <c r="D66" s="443">
        <v>864287.41</v>
      </c>
      <c r="E66" s="443">
        <v>11611556.17</v>
      </c>
      <c r="F66" s="443">
        <v>921710.39</v>
      </c>
      <c r="G66" s="667">
        <f t="shared" si="1"/>
        <v>195016.66000000015</v>
      </c>
      <c r="H66" s="668">
        <f t="shared" si="1"/>
        <v>57422.979999999981</v>
      </c>
      <c r="I66" s="45"/>
      <c r="J66" s="45"/>
      <c r="K66" s="45"/>
      <c r="L66" s="45"/>
      <c r="M66" s="45"/>
      <c r="N66" s="45"/>
      <c r="O66" s="45"/>
    </row>
    <row r="67" spans="1:15" x14ac:dyDescent="0.25">
      <c r="A67" s="33">
        <f t="shared" si="0"/>
        <v>62</v>
      </c>
      <c r="B67" s="269" t="s">
        <v>29</v>
      </c>
      <c r="C67" s="443">
        <v>246943.82</v>
      </c>
      <c r="D67" s="443">
        <v>5722.58</v>
      </c>
      <c r="E67" s="443">
        <v>262394.56</v>
      </c>
      <c r="F67" s="443">
        <v>5875.64</v>
      </c>
      <c r="G67" s="667">
        <f t="shared" si="1"/>
        <v>15450.739999999991</v>
      </c>
      <c r="H67" s="668">
        <f t="shared" si="1"/>
        <v>153.0600000000004</v>
      </c>
      <c r="I67" s="45"/>
      <c r="J67" s="45"/>
      <c r="K67" s="45"/>
      <c r="L67" s="45"/>
      <c r="M67" s="45"/>
      <c r="N67" s="45"/>
      <c r="O67" s="45"/>
    </row>
    <row r="68" spans="1:15" x14ac:dyDescent="0.25">
      <c r="A68" s="33">
        <f t="shared" si="0"/>
        <v>63</v>
      </c>
      <c r="B68" s="269" t="s">
        <v>1158</v>
      </c>
      <c r="C68" s="439">
        <f>SUM(C69:C74)</f>
        <v>1416072.5899999999</v>
      </c>
      <c r="D68" s="439">
        <f>SUM(D69:D74)</f>
        <v>45428.84</v>
      </c>
      <c r="E68" s="439">
        <f>SUM(E69:E74)</f>
        <v>1442810.28</v>
      </c>
      <c r="F68" s="439">
        <f>SUM(F69:F74)</f>
        <v>48248.35</v>
      </c>
      <c r="G68" s="439">
        <f t="shared" si="1"/>
        <v>26737.690000000177</v>
      </c>
      <c r="H68" s="441">
        <f t="shared" si="1"/>
        <v>2819.510000000002</v>
      </c>
      <c r="I68" s="45"/>
      <c r="J68" s="45"/>
      <c r="K68" s="45"/>
      <c r="L68" s="45"/>
      <c r="M68" s="45"/>
      <c r="N68" s="45"/>
      <c r="O68" s="45"/>
    </row>
    <row r="69" spans="1:15" x14ac:dyDescent="0.25">
      <c r="A69" s="33">
        <f t="shared" si="0"/>
        <v>64</v>
      </c>
      <c r="B69" s="266" t="s">
        <v>88</v>
      </c>
      <c r="C69" s="443">
        <v>354460.57</v>
      </c>
      <c r="D69" s="443">
        <v>22695.82</v>
      </c>
      <c r="E69" s="443">
        <v>366498.07</v>
      </c>
      <c r="F69" s="443">
        <v>22746.97</v>
      </c>
      <c r="G69" s="667">
        <f t="shared" si="1"/>
        <v>12037.5</v>
      </c>
      <c r="H69" s="668">
        <f t="shared" si="1"/>
        <v>51.150000000001455</v>
      </c>
      <c r="I69" s="45"/>
      <c r="J69" s="45"/>
      <c r="K69" s="45"/>
      <c r="L69" s="45"/>
      <c r="M69" s="45"/>
      <c r="N69" s="45"/>
      <c r="O69" s="45"/>
    </row>
    <row r="70" spans="1:15" x14ac:dyDescent="0.25">
      <c r="A70" s="33">
        <f t="shared" si="0"/>
        <v>65</v>
      </c>
      <c r="B70" s="266" t="s">
        <v>1187</v>
      </c>
      <c r="C70" s="443">
        <v>690185.64</v>
      </c>
      <c r="D70" s="443">
        <v>12676.32</v>
      </c>
      <c r="E70" s="443">
        <v>665766.48</v>
      </c>
      <c r="F70" s="443">
        <v>15898.73</v>
      </c>
      <c r="G70" s="667">
        <f t="shared" si="1"/>
        <v>-24419.160000000033</v>
      </c>
      <c r="H70" s="668">
        <f t="shared" si="1"/>
        <v>3222.41</v>
      </c>
      <c r="I70" s="45"/>
      <c r="J70" s="45"/>
      <c r="K70" s="45"/>
      <c r="L70" s="45"/>
      <c r="M70" s="45"/>
      <c r="N70" s="45"/>
      <c r="O70" s="45"/>
    </row>
    <row r="71" spans="1:15" x14ac:dyDescent="0.25">
      <c r="A71" s="33">
        <f t="shared" si="0"/>
        <v>66</v>
      </c>
      <c r="B71" s="266" t="s">
        <v>131</v>
      </c>
      <c r="C71" s="443">
        <v>283805.68</v>
      </c>
      <c r="D71" s="443">
        <v>5719</v>
      </c>
      <c r="E71" s="443">
        <v>330312.59999999998</v>
      </c>
      <c r="F71" s="443">
        <v>4806.2299999999996</v>
      </c>
      <c r="G71" s="667">
        <f t="shared" si="1"/>
        <v>46506.919999999984</v>
      </c>
      <c r="H71" s="668">
        <f t="shared" si="1"/>
        <v>-912.77000000000044</v>
      </c>
      <c r="I71" s="45"/>
      <c r="J71" s="45"/>
      <c r="K71" s="45"/>
      <c r="L71" s="45"/>
      <c r="M71" s="45"/>
      <c r="N71" s="45"/>
      <c r="O71" s="45"/>
    </row>
    <row r="72" spans="1:15" x14ac:dyDescent="0.25">
      <c r="A72" s="33">
        <f t="shared" ref="A72:A102" si="2">A71+1</f>
        <v>67</v>
      </c>
      <c r="B72" s="266" t="s">
        <v>132</v>
      </c>
      <c r="C72" s="443">
        <v>77933.19</v>
      </c>
      <c r="D72" s="443">
        <v>3561.95</v>
      </c>
      <c r="E72" s="443">
        <v>72208.800000000003</v>
      </c>
      <c r="F72" s="443">
        <v>4056.19</v>
      </c>
      <c r="G72" s="667">
        <f t="shared" ref="G72:H101" si="3">E72-C72</f>
        <v>-5724.3899999999994</v>
      </c>
      <c r="H72" s="668">
        <f t="shared" si="3"/>
        <v>494.24000000000024</v>
      </c>
      <c r="I72" s="45"/>
      <c r="J72" s="45"/>
      <c r="K72" s="45"/>
      <c r="L72" s="45"/>
      <c r="M72" s="45"/>
      <c r="N72" s="45"/>
      <c r="O72" s="45"/>
    </row>
    <row r="73" spans="1:15" x14ac:dyDescent="0.25">
      <c r="A73" s="33">
        <f t="shared" si="2"/>
        <v>68</v>
      </c>
      <c r="B73" s="266" t="s">
        <v>133</v>
      </c>
      <c r="C73" s="443">
        <v>9530.89</v>
      </c>
      <c r="D73" s="443">
        <v>775.75</v>
      </c>
      <c r="E73" s="443">
        <v>8024.33</v>
      </c>
      <c r="F73" s="443">
        <v>563.23</v>
      </c>
      <c r="G73" s="667">
        <f t="shared" si="3"/>
        <v>-1506.5599999999995</v>
      </c>
      <c r="H73" s="668">
        <f t="shared" si="3"/>
        <v>-212.51999999999998</v>
      </c>
      <c r="I73" s="45"/>
      <c r="J73" s="45"/>
      <c r="K73" s="45"/>
      <c r="L73" s="45"/>
      <c r="M73" s="45"/>
      <c r="N73" s="45"/>
      <c r="O73" s="45"/>
    </row>
    <row r="74" spans="1:15" x14ac:dyDescent="0.25">
      <c r="A74" s="33">
        <f t="shared" si="2"/>
        <v>69</v>
      </c>
      <c r="B74" s="266" t="s">
        <v>134</v>
      </c>
      <c r="C74" s="443">
        <v>156.62</v>
      </c>
      <c r="D74" s="443">
        <v>0</v>
      </c>
      <c r="E74" s="443">
        <v>0</v>
      </c>
      <c r="F74" s="443">
        <v>177</v>
      </c>
      <c r="G74" s="667">
        <f t="shared" si="3"/>
        <v>-156.62</v>
      </c>
      <c r="H74" s="668">
        <f t="shared" si="3"/>
        <v>177</v>
      </c>
      <c r="I74" s="45"/>
      <c r="J74" s="45"/>
      <c r="K74" s="45"/>
      <c r="L74" s="45"/>
      <c r="M74" s="45"/>
      <c r="N74" s="45"/>
      <c r="O74" s="45"/>
    </row>
    <row r="75" spans="1:15" x14ac:dyDescent="0.25">
      <c r="A75" s="33">
        <f t="shared" si="2"/>
        <v>70</v>
      </c>
      <c r="B75" s="269" t="s">
        <v>43</v>
      </c>
      <c r="C75" s="443">
        <v>2868.43</v>
      </c>
      <c r="D75" s="443">
        <v>462.23</v>
      </c>
      <c r="E75" s="532">
        <v>2774.14</v>
      </c>
      <c r="F75" s="532">
        <v>156.47</v>
      </c>
      <c r="G75" s="667">
        <f t="shared" si="3"/>
        <v>-94.289999999999964</v>
      </c>
      <c r="H75" s="668">
        <f t="shared" si="3"/>
        <v>-305.76</v>
      </c>
      <c r="I75" s="45"/>
      <c r="J75" s="45"/>
      <c r="K75" s="45"/>
      <c r="L75" s="45"/>
      <c r="M75" s="45"/>
      <c r="N75" s="45"/>
      <c r="O75" s="45"/>
    </row>
    <row r="76" spans="1:15" x14ac:dyDescent="0.25">
      <c r="A76" s="33">
        <f t="shared" si="2"/>
        <v>71</v>
      </c>
      <c r="B76" s="269" t="s">
        <v>383</v>
      </c>
      <c r="C76" s="443">
        <v>0</v>
      </c>
      <c r="D76" s="443">
        <v>3834.66</v>
      </c>
      <c r="E76" s="532">
        <v>0</v>
      </c>
      <c r="F76" s="532">
        <v>3976.5</v>
      </c>
      <c r="G76" s="667">
        <f t="shared" si="3"/>
        <v>0</v>
      </c>
      <c r="H76" s="668">
        <f t="shared" si="3"/>
        <v>141.84000000000015</v>
      </c>
      <c r="I76" s="45"/>
      <c r="J76" s="45"/>
      <c r="K76" s="45"/>
      <c r="L76" s="45"/>
      <c r="M76" s="45"/>
      <c r="N76" s="45"/>
      <c r="O76" s="45"/>
    </row>
    <row r="77" spans="1:15" x14ac:dyDescent="0.25">
      <c r="A77" s="33">
        <f t="shared" si="2"/>
        <v>72</v>
      </c>
      <c r="B77" s="269" t="s">
        <v>182</v>
      </c>
      <c r="C77" s="443">
        <v>171462.94</v>
      </c>
      <c r="D77" s="443">
        <v>39717.449999999997</v>
      </c>
      <c r="E77" s="532">
        <v>174792.28</v>
      </c>
      <c r="F77" s="532">
        <v>38249.69</v>
      </c>
      <c r="G77" s="667">
        <f t="shared" si="3"/>
        <v>3329.3399999999965</v>
      </c>
      <c r="H77" s="668">
        <f t="shared" si="3"/>
        <v>-1467.7599999999948</v>
      </c>
      <c r="I77" s="45"/>
      <c r="J77" s="45"/>
      <c r="K77" s="45"/>
      <c r="L77" s="45"/>
      <c r="M77" s="45"/>
      <c r="N77" s="45"/>
      <c r="O77" s="45"/>
    </row>
    <row r="78" spans="1:15" x14ac:dyDescent="0.25">
      <c r="A78" s="33">
        <f t="shared" si="2"/>
        <v>73</v>
      </c>
      <c r="B78" s="269" t="s">
        <v>302</v>
      </c>
      <c r="C78" s="443">
        <v>52433.94</v>
      </c>
      <c r="D78" s="443">
        <v>2257.69</v>
      </c>
      <c r="E78" s="532">
        <v>60524.63</v>
      </c>
      <c r="F78" s="532">
        <v>7256.16</v>
      </c>
      <c r="G78" s="667">
        <f t="shared" si="3"/>
        <v>8090.6899999999951</v>
      </c>
      <c r="H78" s="668">
        <f t="shared" si="3"/>
        <v>4998.4699999999993</v>
      </c>
      <c r="I78" s="45"/>
      <c r="J78" s="45"/>
      <c r="K78" s="45"/>
      <c r="L78" s="45"/>
      <c r="M78" s="45"/>
      <c r="N78" s="45"/>
      <c r="O78" s="45"/>
    </row>
    <row r="79" spans="1:15" x14ac:dyDescent="0.25">
      <c r="A79" s="33">
        <f t="shared" si="2"/>
        <v>74</v>
      </c>
      <c r="B79" s="269" t="s">
        <v>1159</v>
      </c>
      <c r="C79" s="439">
        <f>C80+C81</f>
        <v>6483278.1899999995</v>
      </c>
      <c r="D79" s="439">
        <f>D80+D81</f>
        <v>368676.41</v>
      </c>
      <c r="E79" s="439">
        <f>E80+E81</f>
        <v>5904683.9999999991</v>
      </c>
      <c r="F79" s="439">
        <f>F80+F81</f>
        <v>416999.47000000003</v>
      </c>
      <c r="G79" s="439">
        <f t="shared" si="3"/>
        <v>-578594.19000000041</v>
      </c>
      <c r="H79" s="441">
        <f t="shared" si="3"/>
        <v>48323.060000000056</v>
      </c>
      <c r="I79" s="45"/>
      <c r="J79" s="45"/>
      <c r="K79" s="45"/>
      <c r="L79" s="45"/>
      <c r="M79" s="45"/>
      <c r="N79" s="45"/>
      <c r="O79" s="45"/>
    </row>
    <row r="80" spans="1:15" x14ac:dyDescent="0.25">
      <c r="A80" s="33">
        <f t="shared" si="2"/>
        <v>75</v>
      </c>
      <c r="B80" s="269" t="s">
        <v>1081</v>
      </c>
      <c r="C80" s="532">
        <v>98221.35</v>
      </c>
      <c r="D80" s="532">
        <v>14657.51</v>
      </c>
      <c r="E80" s="532">
        <v>50949.71</v>
      </c>
      <c r="F80" s="532">
        <v>9303.33</v>
      </c>
      <c r="G80" s="667">
        <f t="shared" si="3"/>
        <v>-47271.640000000007</v>
      </c>
      <c r="H80" s="668">
        <f t="shared" si="3"/>
        <v>-5354.18</v>
      </c>
      <c r="I80" s="836"/>
      <c r="J80" s="45"/>
      <c r="K80" s="45"/>
      <c r="L80" s="45"/>
      <c r="M80" s="836"/>
      <c r="N80" s="45"/>
      <c r="O80" s="45"/>
    </row>
    <row r="81" spans="1:15" x14ac:dyDescent="0.25">
      <c r="A81" s="33">
        <f t="shared" si="2"/>
        <v>76</v>
      </c>
      <c r="B81" s="269" t="s">
        <v>15</v>
      </c>
      <c r="C81" s="439">
        <f>SUM(C82:C89)</f>
        <v>6385056.8399999999</v>
      </c>
      <c r="D81" s="439">
        <f>SUM(D82:D89)</f>
        <v>354018.89999999997</v>
      </c>
      <c r="E81" s="439">
        <f>SUM(E82:E89)</f>
        <v>5853734.2899999991</v>
      </c>
      <c r="F81" s="439">
        <f>SUM(F82:F89)</f>
        <v>407696.14</v>
      </c>
      <c r="G81" s="439">
        <f t="shared" si="3"/>
        <v>-531322.55000000075</v>
      </c>
      <c r="H81" s="441">
        <f t="shared" si="3"/>
        <v>53677.240000000049</v>
      </c>
      <c r="I81" s="45"/>
      <c r="J81" s="45"/>
      <c r="K81" s="45"/>
      <c r="L81" s="45"/>
      <c r="M81" s="45"/>
      <c r="N81" s="45"/>
      <c r="O81" s="45"/>
    </row>
    <row r="82" spans="1:15" x14ac:dyDescent="0.25">
      <c r="A82" s="33">
        <f t="shared" si="2"/>
        <v>77</v>
      </c>
      <c r="B82" s="266" t="s">
        <v>778</v>
      </c>
      <c r="C82" s="443">
        <v>4056580.03</v>
      </c>
      <c r="D82" s="443">
        <v>0</v>
      </c>
      <c r="E82" s="443">
        <v>3635017.42</v>
      </c>
      <c r="F82" s="443">
        <v>10434.700000000001</v>
      </c>
      <c r="G82" s="667">
        <f t="shared" si="3"/>
        <v>-421562.60999999987</v>
      </c>
      <c r="H82" s="668">
        <f t="shared" si="3"/>
        <v>10434.700000000001</v>
      </c>
      <c r="I82" s="837"/>
      <c r="J82" s="832"/>
      <c r="K82" s="688"/>
      <c r="L82" s="45"/>
      <c r="M82" s="45"/>
      <c r="N82" s="45"/>
      <c r="O82" s="45"/>
    </row>
    <row r="83" spans="1:15" x14ac:dyDescent="0.25">
      <c r="A83" s="33">
        <f t="shared" si="2"/>
        <v>78</v>
      </c>
      <c r="B83" s="266" t="s">
        <v>135</v>
      </c>
      <c r="C83" s="443">
        <v>12230.01</v>
      </c>
      <c r="D83" s="443">
        <v>1092.95</v>
      </c>
      <c r="E83" s="443">
        <v>10408.19</v>
      </c>
      <c r="F83" s="443">
        <v>1264.0999999999999</v>
      </c>
      <c r="G83" s="667">
        <f t="shared" si="3"/>
        <v>-1821.8199999999997</v>
      </c>
      <c r="H83" s="668">
        <f t="shared" si="3"/>
        <v>171.14999999999986</v>
      </c>
      <c r="I83" s="838"/>
      <c r="J83" s="838"/>
      <c r="K83" s="688"/>
      <c r="L83" s="45"/>
      <c r="M83" s="45"/>
      <c r="N83" s="45"/>
      <c r="O83" s="45"/>
    </row>
    <row r="84" spans="1:15" x14ac:dyDescent="0.25">
      <c r="A84" s="33">
        <f t="shared" si="2"/>
        <v>79</v>
      </c>
      <c r="B84" s="266" t="s">
        <v>136</v>
      </c>
      <c r="C84" s="443">
        <v>0</v>
      </c>
      <c r="D84" s="443">
        <v>0</v>
      </c>
      <c r="E84" s="443">
        <v>0.05</v>
      </c>
      <c r="F84" s="443">
        <v>0</v>
      </c>
      <c r="G84" s="667">
        <f t="shared" si="3"/>
        <v>0.05</v>
      </c>
      <c r="H84" s="668">
        <f t="shared" si="3"/>
        <v>0</v>
      </c>
      <c r="I84" s="839"/>
      <c r="J84" s="839"/>
      <c r="K84" s="45"/>
      <c r="L84" s="45"/>
      <c r="M84" s="45"/>
      <c r="N84" s="45"/>
      <c r="O84" s="45"/>
    </row>
    <row r="85" spans="1:15" ht="31.5" x14ac:dyDescent="0.25">
      <c r="A85" s="33">
        <f t="shared" si="2"/>
        <v>80</v>
      </c>
      <c r="B85" s="306" t="s">
        <v>866</v>
      </c>
      <c r="C85" s="443">
        <v>56876.7</v>
      </c>
      <c r="D85" s="443">
        <v>3936.75</v>
      </c>
      <c r="E85" s="443">
        <v>153788.73000000001</v>
      </c>
      <c r="F85" s="443">
        <v>5075.71</v>
      </c>
      <c r="G85" s="667">
        <f t="shared" si="3"/>
        <v>96912.030000000013</v>
      </c>
      <c r="H85" s="668">
        <f t="shared" si="3"/>
        <v>1138.96</v>
      </c>
      <c r="I85" s="535"/>
      <c r="J85" s="536"/>
      <c r="K85" s="537"/>
      <c r="L85" s="375"/>
      <c r="M85" s="376"/>
      <c r="N85" s="375"/>
      <c r="O85" s="45"/>
    </row>
    <row r="86" spans="1:15" x14ac:dyDescent="0.25">
      <c r="A86" s="33">
        <f t="shared" si="2"/>
        <v>81</v>
      </c>
      <c r="B86" s="355" t="s">
        <v>1098</v>
      </c>
      <c r="C86" s="443">
        <v>322870.96000000002</v>
      </c>
      <c r="D86" s="443">
        <v>0</v>
      </c>
      <c r="E86" s="443">
        <v>176759.27</v>
      </c>
      <c r="F86" s="443">
        <v>31790</v>
      </c>
      <c r="G86" s="667">
        <f t="shared" si="3"/>
        <v>-146111.69000000003</v>
      </c>
      <c r="H86" s="668">
        <f t="shared" si="3"/>
        <v>31790</v>
      </c>
      <c r="I86" s="832"/>
      <c r="J86" s="840"/>
      <c r="K86" s="841"/>
      <c r="L86" s="842"/>
      <c r="M86" s="375"/>
      <c r="N86" s="45"/>
      <c r="O86" s="45"/>
    </row>
    <row r="87" spans="1:15" x14ac:dyDescent="0.25">
      <c r="A87" s="380" t="s">
        <v>1095</v>
      </c>
      <c r="B87" s="414" t="s">
        <v>1094</v>
      </c>
      <c r="C87" s="443">
        <v>0</v>
      </c>
      <c r="D87" s="443">
        <v>0</v>
      </c>
      <c r="E87" s="443">
        <v>0</v>
      </c>
      <c r="F87" s="443">
        <v>0</v>
      </c>
      <c r="G87" s="667">
        <f t="shared" ref="G87" si="4">E87-C87</f>
        <v>0</v>
      </c>
      <c r="H87" s="668">
        <f t="shared" ref="H87" si="5">F87-D87</f>
        <v>0</v>
      </c>
      <c r="I87" s="375"/>
      <c r="J87" s="375"/>
      <c r="K87" s="375"/>
      <c r="L87" s="45"/>
      <c r="M87" s="375"/>
      <c r="N87" s="45"/>
      <c r="O87" s="45"/>
    </row>
    <row r="88" spans="1:15" x14ac:dyDescent="0.25">
      <c r="A88" s="33">
        <f>A86+1</f>
        <v>82</v>
      </c>
      <c r="B88" s="266" t="s">
        <v>1100</v>
      </c>
      <c r="C88" s="443">
        <v>978339.89</v>
      </c>
      <c r="D88" s="443">
        <v>24578.34</v>
      </c>
      <c r="E88" s="443">
        <v>747731.04</v>
      </c>
      <c r="F88" s="443">
        <v>332181.12</v>
      </c>
      <c r="G88" s="667">
        <f t="shared" si="3"/>
        <v>-230608.84999999998</v>
      </c>
      <c r="H88" s="668">
        <f t="shared" si="3"/>
        <v>307602.77999999997</v>
      </c>
      <c r="I88" s="826"/>
      <c r="J88" s="45"/>
      <c r="K88" s="688"/>
      <c r="L88" s="45"/>
      <c r="M88" s="824"/>
      <c r="N88" s="45"/>
      <c r="O88" s="45"/>
    </row>
    <row r="89" spans="1:15" x14ac:dyDescent="0.25">
      <c r="A89" s="33">
        <f t="shared" si="2"/>
        <v>83</v>
      </c>
      <c r="B89" s="306" t="s">
        <v>1099</v>
      </c>
      <c r="C89" s="443">
        <v>958159.25</v>
      </c>
      <c r="D89" s="443">
        <v>324410.86</v>
      </c>
      <c r="E89" s="443">
        <v>1130029.5900000001</v>
      </c>
      <c r="F89" s="443">
        <v>26950.51</v>
      </c>
      <c r="G89" s="667">
        <f t="shared" si="3"/>
        <v>171870.34000000008</v>
      </c>
      <c r="H89" s="668">
        <f t="shared" si="3"/>
        <v>-297460.34999999998</v>
      </c>
      <c r="I89" s="843"/>
      <c r="J89" s="844"/>
      <c r="K89" s="688"/>
      <c r="L89" s="45"/>
      <c r="M89" s="45"/>
      <c r="N89" s="45"/>
      <c r="O89" s="45"/>
    </row>
    <row r="90" spans="1:15" ht="31.5" x14ac:dyDescent="0.25">
      <c r="A90" s="33">
        <f t="shared" si="2"/>
        <v>84</v>
      </c>
      <c r="B90" s="307" t="s">
        <v>1160</v>
      </c>
      <c r="C90" s="439">
        <f>SUM(C91:C99)</f>
        <v>15847072.57</v>
      </c>
      <c r="D90" s="439">
        <f>SUM(D91:D99)</f>
        <v>33733.410000000003</v>
      </c>
      <c r="E90" s="439">
        <f>SUM(E91:E99)</f>
        <v>22372380.030000005</v>
      </c>
      <c r="F90" s="439">
        <f>SUM(F91:F99)</f>
        <v>104350</v>
      </c>
      <c r="G90" s="439">
        <f t="shared" si="3"/>
        <v>6525307.4600000046</v>
      </c>
      <c r="H90" s="441">
        <f t="shared" si="3"/>
        <v>70616.59</v>
      </c>
      <c r="I90" s="688"/>
      <c r="J90" s="845"/>
      <c r="K90" s="688"/>
      <c r="L90" s="45"/>
      <c r="M90" s="45"/>
      <c r="N90" s="45"/>
      <c r="O90" s="45"/>
    </row>
    <row r="91" spans="1:15" ht="31.5" customHeight="1" x14ac:dyDescent="0.25">
      <c r="A91" s="33">
        <f t="shared" si="2"/>
        <v>85</v>
      </c>
      <c r="B91" s="266" t="s">
        <v>827</v>
      </c>
      <c r="C91" s="443">
        <v>1540530.77</v>
      </c>
      <c r="D91" s="443">
        <v>0</v>
      </c>
      <c r="E91" s="443">
        <v>1941720.11</v>
      </c>
      <c r="F91" s="443"/>
      <c r="G91" s="667">
        <f t="shared" si="3"/>
        <v>401189.34000000008</v>
      </c>
      <c r="H91" s="668">
        <f t="shared" si="3"/>
        <v>0</v>
      </c>
      <c r="I91" s="688"/>
      <c r="J91" s="842"/>
      <c r="K91" s="842"/>
      <c r="L91" s="45"/>
      <c r="M91" s="45"/>
      <c r="N91" s="45"/>
      <c r="O91" s="45"/>
    </row>
    <row r="92" spans="1:15" ht="31.5" x14ac:dyDescent="0.25">
      <c r="A92" s="33">
        <f t="shared" si="2"/>
        <v>86</v>
      </c>
      <c r="B92" s="274" t="s">
        <v>1089</v>
      </c>
      <c r="C92" s="443">
        <v>6750413.8799999999</v>
      </c>
      <c r="D92" s="443">
        <v>35358.980000000003</v>
      </c>
      <c r="E92" s="443">
        <v>3832120.87</v>
      </c>
      <c r="F92" s="443">
        <v>35326.519999999997</v>
      </c>
      <c r="G92" s="667">
        <f t="shared" si="3"/>
        <v>-2918293.01</v>
      </c>
      <c r="H92" s="668">
        <f t="shared" si="3"/>
        <v>-32.460000000006403</v>
      </c>
      <c r="I92" s="839"/>
      <c r="J92" s="45"/>
      <c r="K92" s="842"/>
      <c r="L92" s="45"/>
      <c r="M92" s="45"/>
      <c r="N92" s="45"/>
      <c r="O92" s="45"/>
    </row>
    <row r="93" spans="1:15" ht="31.5" x14ac:dyDescent="0.25">
      <c r="A93" s="33" t="s">
        <v>711</v>
      </c>
      <c r="B93" s="274" t="s">
        <v>1088</v>
      </c>
      <c r="C93" s="443">
        <v>3896815.33</v>
      </c>
      <c r="D93" s="443">
        <v>0</v>
      </c>
      <c r="E93" s="443">
        <v>11861611.470000001</v>
      </c>
      <c r="F93" s="443">
        <v>0</v>
      </c>
      <c r="G93" s="667">
        <f>E93-C93</f>
        <v>7964796.1400000006</v>
      </c>
      <c r="H93" s="668">
        <f>F93-D93</f>
        <v>0</v>
      </c>
      <c r="I93" s="839"/>
      <c r="J93" s="838"/>
      <c r="K93" s="45"/>
      <c r="L93" s="45"/>
      <c r="M93" s="45"/>
      <c r="N93" s="45"/>
      <c r="O93" s="45"/>
    </row>
    <row r="94" spans="1:15" x14ac:dyDescent="0.25">
      <c r="A94" s="33">
        <f>A92+1</f>
        <v>87</v>
      </c>
      <c r="B94" s="266" t="s">
        <v>1082</v>
      </c>
      <c r="C94" s="443">
        <v>-1941.99</v>
      </c>
      <c r="D94" s="443">
        <v>-1625.57</v>
      </c>
      <c r="E94" s="443">
        <v>561684.68000000005</v>
      </c>
      <c r="F94" s="443">
        <v>37233.480000000003</v>
      </c>
      <c r="G94" s="667">
        <f t="shared" si="3"/>
        <v>563626.67000000004</v>
      </c>
      <c r="H94" s="668">
        <f t="shared" si="3"/>
        <v>38859.050000000003</v>
      </c>
      <c r="I94" s="838"/>
      <c r="J94" s="824"/>
      <c r="K94" s="45"/>
      <c r="L94" s="45"/>
      <c r="M94" s="45"/>
      <c r="N94" s="45"/>
      <c r="O94" s="45"/>
    </row>
    <row r="95" spans="1:15" x14ac:dyDescent="0.25">
      <c r="A95" s="33">
        <f t="shared" si="2"/>
        <v>88</v>
      </c>
      <c r="B95" s="266" t="s">
        <v>164</v>
      </c>
      <c r="C95" s="443">
        <v>0</v>
      </c>
      <c r="D95" s="443">
        <v>0</v>
      </c>
      <c r="E95" s="443">
        <v>0</v>
      </c>
      <c r="F95" s="443">
        <v>0</v>
      </c>
      <c r="G95" s="667">
        <f t="shared" si="3"/>
        <v>0</v>
      </c>
      <c r="H95" s="668">
        <f t="shared" si="3"/>
        <v>0</v>
      </c>
      <c r="I95" s="839"/>
      <c r="J95" s="45"/>
      <c r="K95" s="45"/>
      <c r="L95" s="45"/>
      <c r="M95" s="45"/>
      <c r="N95" s="45"/>
      <c r="O95" s="45"/>
    </row>
    <row r="96" spans="1:15" x14ac:dyDescent="0.25">
      <c r="A96" s="33">
        <f t="shared" si="2"/>
        <v>89</v>
      </c>
      <c r="B96" s="266" t="s">
        <v>165</v>
      </c>
      <c r="C96" s="443">
        <v>3658699.58</v>
      </c>
      <c r="D96" s="443">
        <v>0</v>
      </c>
      <c r="E96" s="443">
        <v>3803257.28</v>
      </c>
      <c r="F96" s="443">
        <v>31790</v>
      </c>
      <c r="G96" s="667">
        <f t="shared" si="3"/>
        <v>144557.69999999972</v>
      </c>
      <c r="H96" s="668">
        <f t="shared" si="3"/>
        <v>31790</v>
      </c>
      <c r="I96" s="846"/>
      <c r="J96" s="45"/>
      <c r="K96" s="45"/>
      <c r="L96" s="45"/>
      <c r="M96" s="45"/>
      <c r="N96" s="45"/>
      <c r="O96" s="45"/>
    </row>
    <row r="97" spans="1:15" ht="31.5" x14ac:dyDescent="0.25">
      <c r="A97" s="33">
        <f t="shared" si="2"/>
        <v>90</v>
      </c>
      <c r="B97" s="377" t="s">
        <v>1097</v>
      </c>
      <c r="C97" s="443">
        <v>2555</v>
      </c>
      <c r="D97" s="443">
        <v>0</v>
      </c>
      <c r="E97" s="443">
        <v>371985.62</v>
      </c>
      <c r="F97" s="443">
        <v>0</v>
      </c>
      <c r="G97" s="667">
        <f t="shared" si="3"/>
        <v>369430.62</v>
      </c>
      <c r="H97" s="668">
        <f t="shared" si="3"/>
        <v>0</v>
      </c>
      <c r="I97" s="847"/>
      <c r="J97" s="848"/>
      <c r="K97" s="45"/>
      <c r="L97" s="45"/>
      <c r="M97" s="836"/>
      <c r="N97" s="45"/>
      <c r="O97" s="45"/>
    </row>
    <row r="98" spans="1:15" ht="46.5" customHeight="1" x14ac:dyDescent="0.25">
      <c r="A98" s="33">
        <f t="shared" si="2"/>
        <v>91</v>
      </c>
      <c r="B98" s="47" t="s">
        <v>883</v>
      </c>
      <c r="C98" s="443">
        <v>0</v>
      </c>
      <c r="D98" s="443">
        <v>0</v>
      </c>
      <c r="E98" s="443">
        <v>0</v>
      </c>
      <c r="F98" s="443">
        <v>0</v>
      </c>
      <c r="G98" s="667">
        <f t="shared" ref="G98" si="6">E98-C98</f>
        <v>0</v>
      </c>
      <c r="H98" s="668">
        <f t="shared" ref="H98" si="7">F98-D98</f>
        <v>0</v>
      </c>
      <c r="I98" s="846"/>
      <c r="J98" s="45"/>
      <c r="K98" s="45"/>
      <c r="L98" s="45"/>
      <c r="M98" s="45"/>
      <c r="N98" s="45"/>
      <c r="O98" s="45"/>
    </row>
    <row r="99" spans="1:15" x14ac:dyDescent="0.25">
      <c r="A99" s="33">
        <f>A98+1</f>
        <v>92</v>
      </c>
      <c r="B99" s="266" t="s">
        <v>877</v>
      </c>
      <c r="C99" s="443">
        <v>0</v>
      </c>
      <c r="D99" s="443">
        <v>0</v>
      </c>
      <c r="E99" s="443">
        <v>0</v>
      </c>
      <c r="F99" s="443">
        <v>0</v>
      </c>
      <c r="G99" s="667">
        <f t="shared" si="3"/>
        <v>0</v>
      </c>
      <c r="H99" s="668">
        <f t="shared" si="3"/>
        <v>0</v>
      </c>
      <c r="I99" s="839"/>
      <c r="J99" s="45"/>
      <c r="K99" s="45"/>
      <c r="L99" s="45"/>
      <c r="M99" s="45"/>
      <c r="N99" s="45"/>
      <c r="O99" s="45"/>
    </row>
    <row r="100" spans="1:15" x14ac:dyDescent="0.25">
      <c r="A100" s="33">
        <f t="shared" si="2"/>
        <v>93</v>
      </c>
      <c r="B100" s="269" t="s">
        <v>1080</v>
      </c>
      <c r="C100" s="443">
        <v>1666097</v>
      </c>
      <c r="D100" s="443">
        <v>150</v>
      </c>
      <c r="E100" s="443">
        <v>813831.61</v>
      </c>
      <c r="F100" s="443">
        <v>2100</v>
      </c>
      <c r="G100" s="667">
        <f t="shared" si="3"/>
        <v>-852265.39</v>
      </c>
      <c r="H100" s="668">
        <f t="shared" si="3"/>
        <v>1950</v>
      </c>
      <c r="I100" s="838"/>
      <c r="J100" s="45"/>
      <c r="K100" s="45"/>
      <c r="L100" s="45"/>
      <c r="M100" s="45"/>
      <c r="N100" s="45"/>
      <c r="O100" s="45"/>
    </row>
    <row r="101" spans="1:15" x14ac:dyDescent="0.25">
      <c r="A101" s="33">
        <f>A100+1</f>
        <v>94</v>
      </c>
      <c r="B101" s="269" t="s">
        <v>1096</v>
      </c>
      <c r="C101" s="443">
        <v>0</v>
      </c>
      <c r="D101" s="443">
        <v>276061.18</v>
      </c>
      <c r="E101" s="443">
        <v>0</v>
      </c>
      <c r="F101" s="443">
        <v>615181.85</v>
      </c>
      <c r="G101" s="667">
        <f t="shared" si="3"/>
        <v>0</v>
      </c>
      <c r="H101" s="668">
        <f t="shared" si="3"/>
        <v>339120.67</v>
      </c>
      <c r="I101" s="838"/>
      <c r="J101" s="45"/>
      <c r="K101" s="45"/>
      <c r="L101" s="45"/>
      <c r="M101" s="45"/>
      <c r="N101" s="45"/>
      <c r="O101" s="45"/>
    </row>
    <row r="102" spans="1:15" ht="32.25" thickBot="1" x14ac:dyDescent="0.3">
      <c r="A102" s="34">
        <f t="shared" si="2"/>
        <v>95</v>
      </c>
      <c r="B102" s="308" t="s">
        <v>903</v>
      </c>
      <c r="C102" s="397">
        <f>C6+C19+C27+C32+C40+C43+C44+C60+C66+C67+C68+C75+C76+C77+C78+C79+C90+C100+C101</f>
        <v>91239839.860000014</v>
      </c>
      <c r="D102" s="397">
        <f t="shared" ref="D102:F102" si="8">D6+D19+D27+D32+D40+D43+D44+D60+D66+D67+D68+D75+D76+D77+D78+D79+D90+D100+D101</f>
        <v>6710539.5300000012</v>
      </c>
      <c r="E102" s="397">
        <f t="shared" si="8"/>
        <v>95325433.200000003</v>
      </c>
      <c r="F102" s="397">
        <f t="shared" si="8"/>
        <v>7345997.549999998</v>
      </c>
      <c r="G102" s="397">
        <f>E102-C102</f>
        <v>4085593.3399999887</v>
      </c>
      <c r="H102" s="449">
        <f>F102-D102</f>
        <v>635458.01999999676</v>
      </c>
      <c r="I102" s="45"/>
      <c r="J102" s="45"/>
      <c r="K102" s="45"/>
      <c r="L102" s="45"/>
      <c r="M102" s="828"/>
      <c r="N102" s="45"/>
      <c r="O102" s="45"/>
    </row>
    <row r="103" spans="1:15" x14ac:dyDescent="0.25">
      <c r="A103" s="4"/>
      <c r="D103" s="350">
        <f>C102+D102-C101-D101</f>
        <v>97674318.210000008</v>
      </c>
      <c r="E103" s="351"/>
      <c r="F103" s="350">
        <f>E102+F102-E101-F101</f>
        <v>102056248.90000001</v>
      </c>
      <c r="I103" s="45"/>
    </row>
    <row r="105" spans="1:15" ht="31.5" x14ac:dyDescent="0.25">
      <c r="A105" s="267" t="s">
        <v>828</v>
      </c>
      <c r="B105" s="268" t="s">
        <v>1101</v>
      </c>
      <c r="C105" s="672"/>
      <c r="D105" s="672"/>
      <c r="E105" s="672" t="s">
        <v>1201</v>
      </c>
      <c r="F105" s="672" t="s">
        <v>1202</v>
      </c>
      <c r="G105" s="672" t="s">
        <v>1203</v>
      </c>
      <c r="H105" s="672" t="s">
        <v>1204</v>
      </c>
    </row>
    <row r="106" spans="1:15" x14ac:dyDescent="0.25">
      <c r="C106" s="672"/>
      <c r="D106" s="672"/>
      <c r="E106" s="673">
        <f>'T11-Zdroje KV'!D10</f>
        <v>403023.41</v>
      </c>
      <c r="F106" s="674">
        <f>'T13-Fondy'!F10</f>
        <v>403023.41</v>
      </c>
      <c r="G106" s="672">
        <v>371985.62</v>
      </c>
      <c r="H106" s="675">
        <f>F106-G106</f>
        <v>31037.789999999979</v>
      </c>
      <c r="I106" s="1" t="s">
        <v>1308</v>
      </c>
    </row>
    <row r="107" spans="1:15" ht="18.75" x14ac:dyDescent="0.25">
      <c r="C107" s="897" t="s">
        <v>1307</v>
      </c>
      <c r="D107" s="897"/>
      <c r="E107" s="897"/>
      <c r="F107" s="897"/>
      <c r="G107" s="897"/>
      <c r="H107" s="897"/>
    </row>
    <row r="971" spans="6:6" x14ac:dyDescent="0.25">
      <c r="F971" s="1" t="s">
        <v>387</v>
      </c>
    </row>
    <row r="990" spans="4:4" x14ac:dyDescent="0.25">
      <c r="D990" s="1" t="s">
        <v>386</v>
      </c>
    </row>
  </sheetData>
  <mergeCells count="8">
    <mergeCell ref="C107:H10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ignoredErrors>
    <ignoredError sqref="B62:F62 C68:F6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K37"/>
  <sheetViews>
    <sheetView zoomScale="80" zoomScaleNormal="80" workbookViewId="0">
      <pane xSplit="2" ySplit="6" topLeftCell="C22" activePane="bottomRight" state="frozen"/>
      <selection pane="topRight" activeCell="C1" sqref="C1"/>
      <selection pane="bottomLeft" activeCell="A7" sqref="A7"/>
      <selection pane="bottomRight" activeCell="K37" sqref="K37"/>
    </sheetView>
  </sheetViews>
  <sheetFormatPr defaultColWidth="9.140625" defaultRowHeight="15.75" x14ac:dyDescent="0.2"/>
  <cols>
    <col min="1" max="1" width="5.5703125" style="24" customWidth="1"/>
    <col min="2" max="2" width="65.42578125" style="50" customWidth="1"/>
    <col min="3" max="3" width="14.7109375" style="19" customWidth="1"/>
    <col min="4" max="4" width="14" style="19" customWidth="1"/>
    <col min="5" max="5" width="15.85546875" style="19" customWidth="1"/>
    <col min="6" max="6" width="15.7109375" style="19" customWidth="1"/>
    <col min="7" max="7" width="19.140625" style="19" customWidth="1"/>
    <col min="8" max="8" width="18.7109375" style="19" customWidth="1"/>
    <col min="9" max="9" width="16.28515625" style="19" customWidth="1"/>
    <col min="10" max="10" width="17.7109375" style="19" bestFit="1" customWidth="1"/>
    <col min="11" max="11" width="13.28515625" style="19" customWidth="1"/>
    <col min="12" max="16384" width="9.140625" style="19"/>
  </cols>
  <sheetData>
    <row r="1" spans="1:11" ht="35.1" customHeight="1" thickBot="1" x14ac:dyDescent="0.25">
      <c r="A1" s="905" t="s">
        <v>994</v>
      </c>
      <c r="B1" s="906"/>
      <c r="C1" s="906"/>
      <c r="D1" s="906"/>
      <c r="E1" s="906"/>
      <c r="F1" s="906"/>
      <c r="G1" s="906"/>
      <c r="H1" s="906"/>
      <c r="I1" s="906"/>
      <c r="J1" s="906"/>
      <c r="K1" s="906"/>
    </row>
    <row r="2" spans="1:11" ht="35.450000000000003" customHeight="1" x14ac:dyDescent="0.2">
      <c r="A2" s="901" t="s">
        <v>1323</v>
      </c>
      <c r="B2" s="902"/>
      <c r="C2" s="902"/>
      <c r="D2" s="902"/>
      <c r="E2" s="902"/>
      <c r="F2" s="902"/>
      <c r="G2" s="902"/>
      <c r="H2" s="902"/>
      <c r="I2" s="902"/>
      <c r="J2" s="902"/>
      <c r="K2" s="903"/>
    </row>
    <row r="3" spans="1:11" ht="42.75" customHeight="1" x14ac:dyDescent="0.2">
      <c r="A3" s="923" t="s">
        <v>208</v>
      </c>
      <c r="B3" s="890" t="s">
        <v>236</v>
      </c>
      <c r="C3" s="912" t="s">
        <v>993</v>
      </c>
      <c r="D3" s="912"/>
      <c r="E3" s="912"/>
      <c r="F3" s="912"/>
      <c r="G3" s="912" t="s">
        <v>748</v>
      </c>
      <c r="H3" s="913" t="s">
        <v>306</v>
      </c>
      <c r="I3" s="912" t="s">
        <v>750</v>
      </c>
      <c r="J3" s="907" t="s">
        <v>751</v>
      </c>
      <c r="K3" s="915" t="s">
        <v>868</v>
      </c>
    </row>
    <row r="4" spans="1:11" ht="34.5" customHeight="1" x14ac:dyDescent="0.2">
      <c r="A4" s="924"/>
      <c r="B4" s="922"/>
      <c r="C4" s="918" t="s">
        <v>234</v>
      </c>
      <c r="D4" s="14" t="s">
        <v>306</v>
      </c>
      <c r="E4" s="918" t="s">
        <v>235</v>
      </c>
      <c r="F4" s="918" t="s">
        <v>186</v>
      </c>
      <c r="G4" s="918"/>
      <c r="H4" s="914"/>
      <c r="I4" s="918"/>
      <c r="J4" s="908"/>
      <c r="K4" s="915"/>
    </row>
    <row r="5" spans="1:11" s="67" customFormat="1" ht="63" x14ac:dyDescent="0.2">
      <c r="A5" s="924"/>
      <c r="B5" s="922"/>
      <c r="C5" s="918"/>
      <c r="D5" s="14" t="s">
        <v>698</v>
      </c>
      <c r="E5" s="918"/>
      <c r="F5" s="918"/>
      <c r="G5" s="918"/>
      <c r="H5" s="14" t="s">
        <v>749</v>
      </c>
      <c r="I5" s="918"/>
      <c r="J5" s="908"/>
      <c r="K5" s="916"/>
    </row>
    <row r="6" spans="1:11" s="68" customFormat="1" ht="18" customHeight="1" x14ac:dyDescent="0.2">
      <c r="A6" s="130"/>
      <c r="B6" s="56"/>
      <c r="C6" s="16" t="s">
        <v>289</v>
      </c>
      <c r="D6" s="16" t="s">
        <v>290</v>
      </c>
      <c r="E6" s="16" t="s">
        <v>291</v>
      </c>
      <c r="F6" s="16" t="s">
        <v>187</v>
      </c>
      <c r="G6" s="16" t="s">
        <v>292</v>
      </c>
      <c r="H6" s="16" t="s">
        <v>293</v>
      </c>
      <c r="I6" s="16" t="s">
        <v>294</v>
      </c>
      <c r="J6" s="287" t="s">
        <v>188</v>
      </c>
      <c r="K6" s="346" t="s">
        <v>869</v>
      </c>
    </row>
    <row r="7" spans="1:11" s="22" customFormat="1" x14ac:dyDescent="0.2">
      <c r="A7" s="31">
        <v>1</v>
      </c>
      <c r="B7" s="46" t="s">
        <v>285</v>
      </c>
      <c r="C7" s="625">
        <f>SUM(C8:C12)</f>
        <v>1013.9300000000001</v>
      </c>
      <c r="D7" s="625">
        <f>SUM(D8:D12)</f>
        <v>1013.6700000000001</v>
      </c>
      <c r="E7" s="625">
        <f>SUM(E8:E12)</f>
        <v>2.7900000000000005</v>
      </c>
      <c r="F7" s="625">
        <f t="shared" ref="F7:F13" si="0">C7+E7</f>
        <v>1016.72</v>
      </c>
      <c r="G7" s="439">
        <f>SUM(G8:G12)</f>
        <v>17635381.800000004</v>
      </c>
      <c r="H7" s="439">
        <f>SUM(H8:H12)</f>
        <v>17164687.82</v>
      </c>
      <c r="I7" s="439">
        <f>SUM(I8:I12)</f>
        <v>787409.51</v>
      </c>
      <c r="J7" s="455">
        <f t="shared" ref="J7:J13" si="1">G7+I7</f>
        <v>18422791.310000006</v>
      </c>
      <c r="K7" s="626">
        <f>IF(F7=0,0,J7/F7/12)</f>
        <v>1509.9856491134897</v>
      </c>
    </row>
    <row r="8" spans="1:11" x14ac:dyDescent="0.2">
      <c r="A8" s="31">
        <v>2</v>
      </c>
      <c r="B8" s="27" t="s">
        <v>870</v>
      </c>
      <c r="C8" s="627">
        <v>172.91</v>
      </c>
      <c r="D8" s="627">
        <v>172.86</v>
      </c>
      <c r="E8" s="627">
        <v>0.03</v>
      </c>
      <c r="F8" s="625">
        <f t="shared" si="0"/>
        <v>172.94</v>
      </c>
      <c r="G8" s="755">
        <v>4432858.41</v>
      </c>
      <c r="H8" s="755">
        <v>4212660.49</v>
      </c>
      <c r="I8" s="755">
        <v>237652.58</v>
      </c>
      <c r="J8" s="455">
        <f t="shared" si="1"/>
        <v>4670510.99</v>
      </c>
      <c r="K8" s="626">
        <f t="shared" ref="K8:K30" si="2">IF(F8=0,0,J8/F8/12)</f>
        <v>2250.5449818819629</v>
      </c>
    </row>
    <row r="9" spans="1:11" x14ac:dyDescent="0.2">
      <c r="A9" s="31">
        <v>3</v>
      </c>
      <c r="B9" s="27" t="s">
        <v>237</v>
      </c>
      <c r="C9" s="627">
        <v>316.20999999999998</v>
      </c>
      <c r="D9" s="627">
        <v>316.08</v>
      </c>
      <c r="E9" s="627">
        <v>0.27</v>
      </c>
      <c r="F9" s="625">
        <f t="shared" si="0"/>
        <v>316.47999999999996</v>
      </c>
      <c r="G9" s="755">
        <v>5832632.0300000003</v>
      </c>
      <c r="H9" s="755">
        <v>5674703.5899999999</v>
      </c>
      <c r="I9" s="755">
        <v>268725.8</v>
      </c>
      <c r="J9" s="455">
        <f t="shared" si="1"/>
        <v>6101357.8300000001</v>
      </c>
      <c r="K9" s="626">
        <f t="shared" si="2"/>
        <v>1606.5675108485004</v>
      </c>
    </row>
    <row r="10" spans="1:11" x14ac:dyDescent="0.2">
      <c r="A10" s="31">
        <v>4</v>
      </c>
      <c r="B10" s="27" t="s">
        <v>238</v>
      </c>
      <c r="C10" s="627">
        <v>505.08</v>
      </c>
      <c r="D10" s="627">
        <v>505</v>
      </c>
      <c r="E10" s="627">
        <v>2.39</v>
      </c>
      <c r="F10" s="625">
        <f t="shared" si="0"/>
        <v>507.46999999999997</v>
      </c>
      <c r="G10" s="755">
        <v>7112864.5</v>
      </c>
      <c r="H10" s="755">
        <v>7022646.6900000004</v>
      </c>
      <c r="I10" s="755">
        <v>278699.68</v>
      </c>
      <c r="J10" s="455">
        <f t="shared" si="1"/>
        <v>7391564.1799999997</v>
      </c>
      <c r="K10" s="626">
        <f t="shared" si="2"/>
        <v>1213.793291557465</v>
      </c>
    </row>
    <row r="11" spans="1:11" x14ac:dyDescent="0.2">
      <c r="A11" s="31">
        <v>5</v>
      </c>
      <c r="B11" s="27" t="s">
        <v>239</v>
      </c>
      <c r="C11" s="627">
        <v>9.33</v>
      </c>
      <c r="D11" s="627">
        <v>9.33</v>
      </c>
      <c r="E11" s="627">
        <v>0.1</v>
      </c>
      <c r="F11" s="625">
        <f t="shared" si="0"/>
        <v>9.43</v>
      </c>
      <c r="G11" s="755">
        <v>122781.67</v>
      </c>
      <c r="H11" s="755">
        <v>120431.86</v>
      </c>
      <c r="I11" s="755">
        <v>2331.4499999999998</v>
      </c>
      <c r="J11" s="455">
        <f t="shared" si="1"/>
        <v>125113.12</v>
      </c>
      <c r="K11" s="626">
        <f t="shared" si="2"/>
        <v>1105.6302580417107</v>
      </c>
    </row>
    <row r="12" spans="1:11" x14ac:dyDescent="0.2">
      <c r="A12" s="31">
        <v>6</v>
      </c>
      <c r="B12" s="27" t="s">
        <v>240</v>
      </c>
      <c r="C12" s="627">
        <v>10.4</v>
      </c>
      <c r="D12" s="627">
        <v>10.4</v>
      </c>
      <c r="E12" s="627"/>
      <c r="F12" s="625">
        <f t="shared" si="0"/>
        <v>10.4</v>
      </c>
      <c r="G12" s="755">
        <v>134245.19</v>
      </c>
      <c r="H12" s="755">
        <v>134245.19</v>
      </c>
      <c r="I12" s="755"/>
      <c r="J12" s="455">
        <f t="shared" si="1"/>
        <v>134245.19</v>
      </c>
      <c r="K12" s="626">
        <f t="shared" si="2"/>
        <v>1075.6826121794873</v>
      </c>
    </row>
    <row r="13" spans="1:11" x14ac:dyDescent="0.2">
      <c r="A13" s="31">
        <v>7</v>
      </c>
      <c r="B13" s="46" t="s">
        <v>64</v>
      </c>
      <c r="C13" s="627">
        <v>216.99</v>
      </c>
      <c r="D13" s="627">
        <v>216.99</v>
      </c>
      <c r="E13" s="627">
        <v>2.7</v>
      </c>
      <c r="F13" s="625">
        <f t="shared" si="0"/>
        <v>219.69</v>
      </c>
      <c r="G13" s="755">
        <v>2075889.71</v>
      </c>
      <c r="H13" s="755">
        <v>2070125.41</v>
      </c>
      <c r="I13" s="755">
        <v>723237.2</v>
      </c>
      <c r="J13" s="455">
        <f t="shared" si="1"/>
        <v>2799126.91</v>
      </c>
      <c r="K13" s="626">
        <f t="shared" si="2"/>
        <v>1061.771477233071</v>
      </c>
    </row>
    <row r="14" spans="1:11" x14ac:dyDescent="0.2">
      <c r="A14" s="31"/>
      <c r="B14" s="27" t="s">
        <v>306</v>
      </c>
      <c r="C14" s="628"/>
      <c r="D14" s="628"/>
      <c r="E14" s="628"/>
      <c r="F14" s="629"/>
      <c r="G14" s="756"/>
      <c r="H14" s="756"/>
      <c r="I14" s="756"/>
      <c r="J14" s="757"/>
      <c r="K14" s="626"/>
    </row>
    <row r="15" spans="1:11" x14ac:dyDescent="0.2">
      <c r="A15" s="31">
        <v>8</v>
      </c>
      <c r="B15" s="27" t="s">
        <v>68</v>
      </c>
      <c r="C15" s="627">
        <v>109.63</v>
      </c>
      <c r="D15" s="627">
        <v>109.63</v>
      </c>
      <c r="E15" s="627">
        <v>1.53</v>
      </c>
      <c r="F15" s="625">
        <f t="shared" ref="F15:F21" si="3">C15+E15</f>
        <v>111.16</v>
      </c>
      <c r="G15" s="755">
        <v>1102844.46</v>
      </c>
      <c r="H15" s="755">
        <v>1100846.46</v>
      </c>
      <c r="I15" s="755">
        <v>689278.82</v>
      </c>
      <c r="J15" s="455">
        <f t="shared" ref="J15:J21" si="4">G15+I15</f>
        <v>1792123.2799999998</v>
      </c>
      <c r="K15" s="626">
        <f t="shared" si="2"/>
        <v>1343.5013194194553</v>
      </c>
    </row>
    <row r="16" spans="1:11" x14ac:dyDescent="0.2">
      <c r="A16" s="31">
        <v>9</v>
      </c>
      <c r="B16" s="46" t="s">
        <v>286</v>
      </c>
      <c r="C16" s="625">
        <f>SUM(C17:C19)</f>
        <v>375.15</v>
      </c>
      <c r="D16" s="625">
        <f>SUM(D17:D19)</f>
        <v>375.15</v>
      </c>
      <c r="E16" s="625">
        <f>SUM(E17:E19)</f>
        <v>62.89</v>
      </c>
      <c r="F16" s="625">
        <f t="shared" si="3"/>
        <v>438.03999999999996</v>
      </c>
      <c r="G16" s="439">
        <f>SUM(G17:G19)</f>
        <v>4488604.07</v>
      </c>
      <c r="H16" s="439">
        <f>SUM(H17:H19)</f>
        <v>4443443.51</v>
      </c>
      <c r="I16" s="439">
        <f>SUM(I17:I19)</f>
        <v>1100090.43</v>
      </c>
      <c r="J16" s="455">
        <f t="shared" si="4"/>
        <v>5588694.5</v>
      </c>
      <c r="K16" s="626">
        <f t="shared" si="2"/>
        <v>1063.2009443582017</v>
      </c>
    </row>
    <row r="17" spans="1:11" x14ac:dyDescent="0.2">
      <c r="A17" s="31">
        <v>10</v>
      </c>
      <c r="B17" s="27" t="s">
        <v>241</v>
      </c>
      <c r="C17" s="627">
        <v>70.77</v>
      </c>
      <c r="D17" s="627">
        <v>70.77</v>
      </c>
      <c r="E17" s="627">
        <v>12.97</v>
      </c>
      <c r="F17" s="625">
        <f t="shared" si="3"/>
        <v>83.74</v>
      </c>
      <c r="G17" s="755">
        <v>1108820.6200000001</v>
      </c>
      <c r="H17" s="755">
        <v>1108520.6200000001</v>
      </c>
      <c r="I17" s="755">
        <v>150544.01</v>
      </c>
      <c r="J17" s="455">
        <f t="shared" si="4"/>
        <v>1259364.6300000001</v>
      </c>
      <c r="K17" s="626">
        <f t="shared" si="2"/>
        <v>1253.2487759732508</v>
      </c>
    </row>
    <row r="18" spans="1:11" x14ac:dyDescent="0.2">
      <c r="A18" s="31">
        <v>11</v>
      </c>
      <c r="B18" s="27" t="s">
        <v>189</v>
      </c>
      <c r="C18" s="627">
        <v>201.74</v>
      </c>
      <c r="D18" s="627">
        <v>201.74</v>
      </c>
      <c r="E18" s="627">
        <v>10.93</v>
      </c>
      <c r="F18" s="625">
        <f t="shared" si="3"/>
        <v>212.67000000000002</v>
      </c>
      <c r="G18" s="755">
        <v>2381709.86</v>
      </c>
      <c r="H18" s="755">
        <v>2373153.0299999998</v>
      </c>
      <c r="I18" s="755">
        <v>429256.51</v>
      </c>
      <c r="J18" s="455">
        <f t="shared" si="4"/>
        <v>2810966.37</v>
      </c>
      <c r="K18" s="626">
        <f t="shared" si="2"/>
        <v>1101.4585860723184</v>
      </c>
    </row>
    <row r="19" spans="1:11" x14ac:dyDescent="0.2">
      <c r="A19" s="31">
        <v>12</v>
      </c>
      <c r="B19" s="27" t="s">
        <v>167</v>
      </c>
      <c r="C19" s="627">
        <v>102.64</v>
      </c>
      <c r="D19" s="627">
        <v>102.64</v>
      </c>
      <c r="E19" s="627">
        <v>38.99</v>
      </c>
      <c r="F19" s="625">
        <f t="shared" si="3"/>
        <v>141.63</v>
      </c>
      <c r="G19" s="755">
        <v>998073.59</v>
      </c>
      <c r="H19" s="755">
        <v>961769.86</v>
      </c>
      <c r="I19" s="755">
        <v>520289.91</v>
      </c>
      <c r="J19" s="455">
        <f t="shared" si="4"/>
        <v>1518363.5</v>
      </c>
      <c r="K19" s="626">
        <f t="shared" si="2"/>
        <v>893.3862293770153</v>
      </c>
    </row>
    <row r="20" spans="1:11" x14ac:dyDescent="0.2">
      <c r="A20" s="31">
        <v>13</v>
      </c>
      <c r="B20" s="46" t="s">
        <v>283</v>
      </c>
      <c r="C20" s="627">
        <v>324.98</v>
      </c>
      <c r="D20" s="627">
        <v>304.13</v>
      </c>
      <c r="E20" s="627">
        <v>26.68</v>
      </c>
      <c r="F20" s="625">
        <f t="shared" si="3"/>
        <v>351.66</v>
      </c>
      <c r="G20" s="755">
        <v>4267341.4000000004</v>
      </c>
      <c r="H20" s="755">
        <v>3840497.74</v>
      </c>
      <c r="I20" s="755">
        <v>700279.52</v>
      </c>
      <c r="J20" s="455">
        <f t="shared" si="4"/>
        <v>4967620.92</v>
      </c>
      <c r="K20" s="626">
        <f t="shared" si="2"/>
        <v>1177.1836717283738</v>
      </c>
    </row>
    <row r="21" spans="1:11" ht="31.5" x14ac:dyDescent="0.2">
      <c r="A21" s="31">
        <v>14</v>
      </c>
      <c r="B21" s="46" t="s">
        <v>65</v>
      </c>
      <c r="C21" s="627">
        <v>291.74</v>
      </c>
      <c r="D21" s="627">
        <v>291.74</v>
      </c>
      <c r="E21" s="627">
        <v>19.149999999999999</v>
      </c>
      <c r="F21" s="625">
        <f t="shared" si="3"/>
        <v>310.89</v>
      </c>
      <c r="G21" s="755">
        <v>2056102.1</v>
      </c>
      <c r="H21" s="755">
        <v>2055174.16</v>
      </c>
      <c r="I21" s="755">
        <v>247939.52</v>
      </c>
      <c r="J21" s="455">
        <f t="shared" si="4"/>
        <v>2304041.62</v>
      </c>
      <c r="K21" s="626">
        <f t="shared" si="2"/>
        <v>617.59293748056655</v>
      </c>
    </row>
    <row r="22" spans="1:11" ht="47.25" x14ac:dyDescent="0.2">
      <c r="A22" s="31">
        <v>15</v>
      </c>
      <c r="B22" s="46" t="s">
        <v>327</v>
      </c>
      <c r="C22" s="625">
        <f>SUM(C23:C26)</f>
        <v>1</v>
      </c>
      <c r="D22" s="625">
        <f>SUM(D23:D26)</f>
        <v>1</v>
      </c>
      <c r="E22" s="54">
        <f>SUM(E23:E26)</f>
        <v>0</v>
      </c>
      <c r="F22" s="625">
        <f>SUM(F23:F27)</f>
        <v>1</v>
      </c>
      <c r="G22" s="439">
        <f>SUM(G23:G26)</f>
        <v>6273</v>
      </c>
      <c r="H22" s="439">
        <f>SUM(H23:H26)</f>
        <v>6273</v>
      </c>
      <c r="I22" s="439">
        <f>SUM(I23:I26)</f>
        <v>0</v>
      </c>
      <c r="J22" s="455">
        <f>SUM(J23:J26)</f>
        <v>6273</v>
      </c>
      <c r="K22" s="626">
        <f t="shared" si="2"/>
        <v>522.75</v>
      </c>
    </row>
    <row r="23" spans="1:11" x14ac:dyDescent="0.2">
      <c r="A23" s="31" t="s">
        <v>284</v>
      </c>
      <c r="B23" s="47"/>
      <c r="C23" s="630">
        <v>1</v>
      </c>
      <c r="D23" s="630">
        <v>1</v>
      </c>
      <c r="E23" s="136"/>
      <c r="F23" s="625">
        <f t="shared" ref="F23:F29" si="5">C23+E23</f>
        <v>1</v>
      </c>
      <c r="G23" s="755">
        <v>6273</v>
      </c>
      <c r="H23" s="755">
        <v>6273</v>
      </c>
      <c r="I23" s="755"/>
      <c r="J23" s="455">
        <f>G23+I23</f>
        <v>6273</v>
      </c>
      <c r="K23" s="626">
        <f t="shared" si="2"/>
        <v>522.75</v>
      </c>
    </row>
    <row r="24" spans="1:11" x14ac:dyDescent="0.2">
      <c r="A24" s="31" t="s">
        <v>396</v>
      </c>
      <c r="B24" s="47"/>
      <c r="C24" s="136"/>
      <c r="D24" s="136"/>
      <c r="E24" s="136"/>
      <c r="F24" s="625">
        <f t="shared" si="5"/>
        <v>0</v>
      </c>
      <c r="G24" s="755"/>
      <c r="H24" s="755"/>
      <c r="I24" s="755"/>
      <c r="J24" s="455">
        <f>G24+I24</f>
        <v>0</v>
      </c>
      <c r="K24" s="626">
        <f t="shared" si="2"/>
        <v>0</v>
      </c>
    </row>
    <row r="25" spans="1:11" x14ac:dyDescent="0.2">
      <c r="A25" s="31" t="s">
        <v>397</v>
      </c>
      <c r="B25" s="47"/>
      <c r="C25" s="136"/>
      <c r="D25" s="136"/>
      <c r="E25" s="136"/>
      <c r="F25" s="625">
        <f t="shared" si="5"/>
        <v>0</v>
      </c>
      <c r="G25" s="755"/>
      <c r="H25" s="755"/>
      <c r="I25" s="755"/>
      <c r="J25" s="455">
        <f>G25+I25</f>
        <v>0</v>
      </c>
      <c r="K25" s="626">
        <f t="shared" si="2"/>
        <v>0</v>
      </c>
    </row>
    <row r="26" spans="1:11" ht="16.5" customHeight="1" x14ac:dyDescent="0.2">
      <c r="A26" s="31" t="s">
        <v>398</v>
      </c>
      <c r="B26" s="47"/>
      <c r="C26" s="136"/>
      <c r="D26" s="136"/>
      <c r="E26" s="136"/>
      <c r="F26" s="625">
        <f t="shared" si="5"/>
        <v>0</v>
      </c>
      <c r="G26" s="755"/>
      <c r="H26" s="755"/>
      <c r="I26" s="755"/>
      <c r="J26" s="455">
        <f>G26+I26</f>
        <v>0</v>
      </c>
      <c r="K26" s="626">
        <f t="shared" si="2"/>
        <v>0</v>
      </c>
    </row>
    <row r="27" spans="1:11" x14ac:dyDescent="0.2">
      <c r="A27" s="31"/>
      <c r="B27" s="27"/>
      <c r="C27" s="137"/>
      <c r="D27" s="137"/>
      <c r="E27" s="137"/>
      <c r="F27" s="629">
        <f t="shared" si="5"/>
        <v>0</v>
      </c>
      <c r="G27" s="756"/>
      <c r="H27" s="756"/>
      <c r="I27" s="756"/>
      <c r="J27" s="757"/>
      <c r="K27" s="626"/>
    </row>
    <row r="28" spans="1:11" x14ac:dyDescent="0.2">
      <c r="A28" s="31">
        <v>16</v>
      </c>
      <c r="B28" s="46" t="s">
        <v>66</v>
      </c>
      <c r="C28" s="627">
        <v>183.57</v>
      </c>
      <c r="D28" s="627">
        <v>183.57</v>
      </c>
      <c r="E28" s="627"/>
      <c r="F28" s="625">
        <f t="shared" si="5"/>
        <v>183.57</v>
      </c>
      <c r="G28" s="755">
        <v>1426695.41</v>
      </c>
      <c r="H28" s="755">
        <v>1426695.41</v>
      </c>
      <c r="I28" s="755">
        <v>146846.9</v>
      </c>
      <c r="J28" s="455">
        <f>G28+I28</f>
        <v>1573542.3099999998</v>
      </c>
      <c r="K28" s="626">
        <f t="shared" si="2"/>
        <v>714.32437671369678</v>
      </c>
    </row>
    <row r="29" spans="1:11" x14ac:dyDescent="0.2">
      <c r="A29" s="31">
        <v>17</v>
      </c>
      <c r="B29" s="46" t="s">
        <v>67</v>
      </c>
      <c r="C29" s="627"/>
      <c r="D29" s="627"/>
      <c r="E29" s="627">
        <v>53.93</v>
      </c>
      <c r="F29" s="625">
        <f t="shared" si="5"/>
        <v>53.93</v>
      </c>
      <c r="G29" s="755"/>
      <c r="H29" s="755"/>
      <c r="I29" s="755">
        <v>487442.42</v>
      </c>
      <c r="J29" s="455">
        <f>G29+I29</f>
        <v>487442.42</v>
      </c>
      <c r="K29" s="626">
        <f t="shared" si="2"/>
        <v>753.202330181099</v>
      </c>
    </row>
    <row r="30" spans="1:11" ht="16.5" thickBot="1" x14ac:dyDescent="0.25">
      <c r="A30" s="32">
        <v>18</v>
      </c>
      <c r="B30" s="48" t="s">
        <v>328</v>
      </c>
      <c r="C30" s="631">
        <f t="shared" ref="C30:J30" si="6">C7+C13+C16+C20+C21+C28+C29</f>
        <v>2406.36</v>
      </c>
      <c r="D30" s="631">
        <f t="shared" si="6"/>
        <v>2385.2500000000005</v>
      </c>
      <c r="E30" s="631">
        <f t="shared" si="6"/>
        <v>168.14000000000001</v>
      </c>
      <c r="F30" s="631">
        <f t="shared" si="6"/>
        <v>2574.5</v>
      </c>
      <c r="G30" s="397">
        <f t="shared" si="6"/>
        <v>31950014.490000006</v>
      </c>
      <c r="H30" s="397">
        <f t="shared" si="6"/>
        <v>31000624.050000004</v>
      </c>
      <c r="I30" s="397">
        <f t="shared" si="6"/>
        <v>4193245.4999999995</v>
      </c>
      <c r="J30" s="456">
        <f t="shared" si="6"/>
        <v>36143259.99000001</v>
      </c>
      <c r="K30" s="632">
        <f t="shared" si="2"/>
        <v>1169.9119566906199</v>
      </c>
    </row>
    <row r="31" spans="1:11" x14ac:dyDescent="0.2">
      <c r="A31" s="18"/>
      <c r="B31" s="18"/>
      <c r="C31" s="21"/>
      <c r="D31" s="18"/>
      <c r="E31" s="18"/>
      <c r="F31" s="21"/>
      <c r="G31" s="21"/>
      <c r="H31" s="21"/>
      <c r="I31" s="21"/>
      <c r="J31" s="21"/>
    </row>
    <row r="32" spans="1:11" x14ac:dyDescent="0.25">
      <c r="A32" s="909" t="s">
        <v>10</v>
      </c>
      <c r="B32" s="910"/>
      <c r="C32" s="910"/>
      <c r="D32" s="910"/>
      <c r="E32" s="910"/>
      <c r="F32" s="910"/>
      <c r="G32" s="910"/>
      <c r="H32" s="910"/>
      <c r="I32" s="910"/>
      <c r="J32" s="911"/>
    </row>
    <row r="33" spans="1:11" x14ac:dyDescent="0.25">
      <c r="A33" s="919" t="s">
        <v>871</v>
      </c>
      <c r="B33" s="920"/>
      <c r="C33" s="920"/>
      <c r="D33" s="920"/>
      <c r="E33" s="920"/>
      <c r="F33" s="920"/>
      <c r="G33" s="920"/>
      <c r="H33" s="920"/>
      <c r="I33" s="920"/>
      <c r="J33" s="921"/>
    </row>
    <row r="34" spans="1:11" ht="50.25" customHeight="1" x14ac:dyDescent="0.2">
      <c r="B34" s="917" t="s">
        <v>753</v>
      </c>
      <c r="C34" s="917"/>
      <c r="D34" s="917"/>
      <c r="E34" s="917"/>
      <c r="F34" s="917"/>
      <c r="G34" s="917"/>
      <c r="H34" s="917"/>
      <c r="I34" s="917"/>
      <c r="J34" s="917"/>
    </row>
    <row r="35" spans="1:11" x14ac:dyDescent="0.2">
      <c r="B35" s="197" t="s">
        <v>729</v>
      </c>
    </row>
    <row r="36" spans="1:11" x14ac:dyDescent="0.2">
      <c r="B36" s="197" t="s">
        <v>730</v>
      </c>
    </row>
    <row r="37" spans="1:11" x14ac:dyDescent="0.2">
      <c r="B37" s="197" t="s">
        <v>731</v>
      </c>
      <c r="K37" s="681"/>
    </row>
  </sheetData>
  <mergeCells count="16">
    <mergeCell ref="B34:J34"/>
    <mergeCell ref="G3:G5"/>
    <mergeCell ref="I3:I5"/>
    <mergeCell ref="C4:C5"/>
    <mergeCell ref="A33:J33"/>
    <mergeCell ref="E4:E5"/>
    <mergeCell ref="F4:F5"/>
    <mergeCell ref="B3:B5"/>
    <mergeCell ref="A3:A5"/>
    <mergeCell ref="A1:K1"/>
    <mergeCell ref="A2:K2"/>
    <mergeCell ref="J3:J5"/>
    <mergeCell ref="A32:J32"/>
    <mergeCell ref="C3:F3"/>
    <mergeCell ref="H3:H4"/>
    <mergeCell ref="K3:K5"/>
  </mergeCells>
  <phoneticPr fontId="0" type="noConversion"/>
  <printOptions gridLines="1"/>
  <pageMargins left="0.47244094488188981" right="0.31496062992125984" top="0.74803149606299213" bottom="0.39370078740157483" header="0.51181102362204722" footer="0.27559055118110237"/>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pane xSplit="2" ySplit="6" topLeftCell="J19" activePane="bottomRight" state="frozen"/>
      <selection pane="topRight" activeCell="C1" sqref="C1"/>
      <selection pane="bottomLeft" activeCell="A7" sqref="A7"/>
      <selection pane="bottomRight" activeCell="L33" sqref="L33"/>
    </sheetView>
  </sheetViews>
  <sheetFormatPr defaultColWidth="9.140625" defaultRowHeight="15.75" x14ac:dyDescent="0.2"/>
  <cols>
    <col min="1" max="1" width="5.5703125" style="24" customWidth="1"/>
    <col min="2" max="2" width="65.42578125" style="50" customWidth="1"/>
    <col min="3" max="3" width="14.7109375" style="19" customWidth="1"/>
    <col min="4" max="4" width="14" style="19" customWidth="1"/>
    <col min="5" max="5" width="15.85546875" style="19" customWidth="1"/>
    <col min="6" max="6" width="15.7109375" style="19" customWidth="1"/>
    <col min="7" max="7" width="19.140625" style="19" customWidth="1"/>
    <col min="8" max="8" width="18.7109375" style="19" customWidth="1"/>
    <col min="9" max="9" width="16.28515625" style="19" customWidth="1"/>
    <col min="10" max="10" width="17.7109375" style="19" bestFit="1" customWidth="1"/>
    <col min="11" max="11" width="13.28515625" style="19" customWidth="1"/>
    <col min="12" max="12" width="13.7109375" style="19" bestFit="1" customWidth="1"/>
    <col min="13" max="16384" width="9.140625" style="19"/>
  </cols>
  <sheetData>
    <row r="1" spans="1:12" ht="35.1" customHeight="1" thickBot="1" x14ac:dyDescent="0.25">
      <c r="A1" s="905" t="s">
        <v>995</v>
      </c>
      <c r="B1" s="906"/>
      <c r="C1" s="906"/>
      <c r="D1" s="906"/>
      <c r="E1" s="906"/>
      <c r="F1" s="906"/>
      <c r="G1" s="906"/>
      <c r="H1" s="906"/>
      <c r="I1" s="906"/>
      <c r="J1" s="906"/>
      <c r="K1" s="906"/>
    </row>
    <row r="2" spans="1:12" ht="35.450000000000003" customHeight="1" x14ac:dyDescent="0.2">
      <c r="A2" s="901" t="s">
        <v>1323</v>
      </c>
      <c r="B2" s="902"/>
      <c r="C2" s="902"/>
      <c r="D2" s="902"/>
      <c r="E2" s="902"/>
      <c r="F2" s="902"/>
      <c r="G2" s="902"/>
      <c r="H2" s="902"/>
      <c r="I2" s="902"/>
      <c r="J2" s="902"/>
      <c r="K2" s="902"/>
      <c r="L2" s="345" t="s">
        <v>934</v>
      </c>
    </row>
    <row r="3" spans="1:12" ht="42.75" customHeight="1" x14ac:dyDescent="0.2">
      <c r="A3" s="923" t="s">
        <v>208</v>
      </c>
      <c r="B3" s="890" t="s">
        <v>872</v>
      </c>
      <c r="C3" s="912" t="s">
        <v>996</v>
      </c>
      <c r="D3" s="912"/>
      <c r="E3" s="912"/>
      <c r="F3" s="912"/>
      <c r="G3" s="912" t="s">
        <v>748</v>
      </c>
      <c r="H3" s="913" t="s">
        <v>306</v>
      </c>
      <c r="I3" s="912" t="s">
        <v>750</v>
      </c>
      <c r="J3" s="907" t="s">
        <v>751</v>
      </c>
      <c r="K3" s="925" t="s">
        <v>936</v>
      </c>
      <c r="L3" s="927" t="s">
        <v>935</v>
      </c>
    </row>
    <row r="4" spans="1:12" ht="34.5" customHeight="1" x14ac:dyDescent="0.2">
      <c r="A4" s="924"/>
      <c r="B4" s="922"/>
      <c r="C4" s="918" t="s">
        <v>937</v>
      </c>
      <c r="D4" s="14" t="s">
        <v>306</v>
      </c>
      <c r="E4" s="918" t="s">
        <v>939</v>
      </c>
      <c r="F4" s="918" t="s">
        <v>940</v>
      </c>
      <c r="G4" s="918"/>
      <c r="H4" s="914"/>
      <c r="I4" s="918"/>
      <c r="J4" s="908"/>
      <c r="K4" s="925"/>
      <c r="L4" s="927"/>
    </row>
    <row r="5" spans="1:12" s="67" customFormat="1" ht="63" x14ac:dyDescent="0.2">
      <c r="A5" s="924"/>
      <c r="B5" s="922"/>
      <c r="C5" s="918"/>
      <c r="D5" s="85" t="s">
        <v>938</v>
      </c>
      <c r="E5" s="918"/>
      <c r="F5" s="918"/>
      <c r="G5" s="918"/>
      <c r="H5" s="14" t="s">
        <v>749</v>
      </c>
      <c r="I5" s="918"/>
      <c r="J5" s="908"/>
      <c r="K5" s="926"/>
      <c r="L5" s="928"/>
    </row>
    <row r="6" spans="1:12" s="68" customFormat="1" ht="18" customHeight="1" x14ac:dyDescent="0.2">
      <c r="A6" s="130"/>
      <c r="B6" s="56"/>
      <c r="C6" s="16" t="s">
        <v>289</v>
      </c>
      <c r="D6" s="16" t="s">
        <v>290</v>
      </c>
      <c r="E6" s="16" t="s">
        <v>291</v>
      </c>
      <c r="F6" s="16" t="s">
        <v>187</v>
      </c>
      <c r="G6" s="16" t="s">
        <v>292</v>
      </c>
      <c r="H6" s="16" t="s">
        <v>293</v>
      </c>
      <c r="I6" s="16" t="s">
        <v>294</v>
      </c>
      <c r="J6" s="287" t="s">
        <v>188</v>
      </c>
      <c r="K6" s="347" t="s">
        <v>869</v>
      </c>
      <c r="L6" s="346" t="s">
        <v>717</v>
      </c>
    </row>
    <row r="7" spans="1:12" s="22" customFormat="1" x14ac:dyDescent="0.2">
      <c r="A7" s="31">
        <v>1</v>
      </c>
      <c r="B7" s="46" t="s">
        <v>285</v>
      </c>
      <c r="C7" s="625">
        <f>SUM(C8:C12)</f>
        <v>345.32</v>
      </c>
      <c r="D7" s="625">
        <f>SUM(D8:D12)</f>
        <v>345.21</v>
      </c>
      <c r="E7" s="625">
        <f>SUM(E8:E12)</f>
        <v>0.66999999999999993</v>
      </c>
      <c r="F7" s="625">
        <f t="shared" ref="F7:F13" si="0">C7+E7</f>
        <v>345.99</v>
      </c>
      <c r="G7" s="439">
        <f>SUM(G8:G12)</f>
        <v>5459517.6690000007</v>
      </c>
      <c r="H7" s="439">
        <f>SUM(H8:H12)</f>
        <v>5371804.8290000008</v>
      </c>
      <c r="I7" s="439">
        <f>SUM(I8:I12)</f>
        <v>159431.65000000002</v>
      </c>
      <c r="J7" s="455">
        <f t="shared" ref="J7:J13" si="1">G7+I7</f>
        <v>5618949.3190000011</v>
      </c>
      <c r="K7" s="633">
        <f>IF(F7=0,0,J7/F7/12)</f>
        <v>1353.3506071948132</v>
      </c>
      <c r="L7" s="626">
        <f>IF('[2]T6-Zamestnanci_a_mzdy'!F7-'[2]T6a-Zamestnanci_a_mzdy (ženy)'!F7=0,0,('[2]T6-Zamestnanci_a_mzdy'!J7-'[2]T6a-Zamestnanci_a_mzdy (ženy)'!J7)/('[2]T6-Zamestnanci_a_mzdy'!F7-'[2]T6a-Zamestnanci_a_mzdy (ženy)'!F7)/12)</f>
        <v>1590.7844178482155</v>
      </c>
    </row>
    <row r="8" spans="1:12" x14ac:dyDescent="0.2">
      <c r="A8" s="31">
        <v>2</v>
      </c>
      <c r="B8" s="27" t="s">
        <v>870</v>
      </c>
      <c r="C8" s="627">
        <v>14.41</v>
      </c>
      <c r="D8" s="627">
        <v>14.36</v>
      </c>
      <c r="E8" s="627"/>
      <c r="F8" s="625">
        <f t="shared" si="0"/>
        <v>14.41</v>
      </c>
      <c r="G8" s="755">
        <v>394656.82</v>
      </c>
      <c r="H8" s="755">
        <v>378018.54</v>
      </c>
      <c r="I8" s="755">
        <v>12483.55</v>
      </c>
      <c r="J8" s="455">
        <f t="shared" si="1"/>
        <v>407140.37</v>
      </c>
      <c r="K8" s="634">
        <f t="shared" ref="K8:K30" si="2">IF(F8=0,0,J8/F8/12)</f>
        <v>2354.5013300948417</v>
      </c>
      <c r="L8" s="635">
        <f>IF('[2]T6-Zamestnanci_a_mzdy'!F8-'[2]T6a-Zamestnanci_a_mzdy (ženy)'!F8=0,0,('[2]T6-Zamestnanci_a_mzdy'!J8-'[2]T6a-Zamestnanci_a_mzdy (ženy)'!J8)/('[2]T6-Zamestnanci_a_mzdy'!F8-'[2]T6a-Zamestnanci_a_mzdy (ženy)'!F8)/12)</f>
        <v>2241.0955970478776</v>
      </c>
    </row>
    <row r="9" spans="1:12" x14ac:dyDescent="0.2">
      <c r="A9" s="31">
        <v>3</v>
      </c>
      <c r="B9" s="27" t="s">
        <v>237</v>
      </c>
      <c r="C9" s="627">
        <v>114.17</v>
      </c>
      <c r="D9" s="627">
        <v>114.11</v>
      </c>
      <c r="E9" s="627"/>
      <c r="F9" s="625">
        <f t="shared" si="0"/>
        <v>114.17</v>
      </c>
      <c r="G9" s="755">
        <v>2039189.71</v>
      </c>
      <c r="H9" s="755">
        <v>1988359.06</v>
      </c>
      <c r="I9" s="755">
        <v>78379.77</v>
      </c>
      <c r="J9" s="455">
        <f t="shared" si="1"/>
        <v>2117569.48</v>
      </c>
      <c r="K9" s="634">
        <f t="shared" si="2"/>
        <v>1545.626025517503</v>
      </c>
      <c r="L9" s="635">
        <f>IF('[2]T6-Zamestnanci_a_mzdy'!F9-'[2]T6a-Zamestnanci_a_mzdy (ženy)'!F9=0,0,('[2]T6-Zamestnanci_a_mzdy'!J9-'[2]T6a-Zamestnanci_a_mzdy (ženy)'!J9)/('[2]T6-Zamestnanci_a_mzdy'!F9-'[2]T6a-Zamestnanci_a_mzdy (ženy)'!F9)/12)</f>
        <v>1640.9587390638135</v>
      </c>
    </row>
    <row r="10" spans="1:12" x14ac:dyDescent="0.2">
      <c r="A10" s="31">
        <v>4</v>
      </c>
      <c r="B10" s="27" t="s">
        <v>238</v>
      </c>
      <c r="C10" s="627">
        <v>209.05</v>
      </c>
      <c r="D10" s="627">
        <v>209.05</v>
      </c>
      <c r="E10" s="627">
        <v>0.56999999999999995</v>
      </c>
      <c r="F10" s="625">
        <f t="shared" si="0"/>
        <v>209.62</v>
      </c>
      <c r="G10" s="755">
        <v>2924998.12</v>
      </c>
      <c r="H10" s="755">
        <v>2904754.21</v>
      </c>
      <c r="I10" s="755">
        <v>67234.880000000005</v>
      </c>
      <c r="J10" s="455">
        <f t="shared" si="1"/>
        <v>2992233</v>
      </c>
      <c r="K10" s="634">
        <f t="shared" si="2"/>
        <v>1189.5465604427059</v>
      </c>
      <c r="L10" s="635">
        <f>IF('[2]T6-Zamestnanci_a_mzdy'!F10-'[2]T6a-Zamestnanci_a_mzdy (ženy)'!F10=0,0,('[2]T6-Zamestnanci_a_mzdy'!J10-'[2]T6a-Zamestnanci_a_mzdy (ženy)'!J10)/('[2]T6-Zamestnanci_a_mzdy'!F10-'[2]T6a-Zamestnanci_a_mzdy (ženy)'!F10)/12)</f>
        <v>1230.8575849141068</v>
      </c>
    </row>
    <row r="11" spans="1:12" x14ac:dyDescent="0.2">
      <c r="A11" s="31">
        <v>5</v>
      </c>
      <c r="B11" s="27" t="s">
        <v>239</v>
      </c>
      <c r="C11" s="627">
        <v>2.11</v>
      </c>
      <c r="D11" s="627">
        <v>2.11</v>
      </c>
      <c r="E11" s="627">
        <v>0.1</v>
      </c>
      <c r="F11" s="625">
        <f t="shared" si="0"/>
        <v>2.21</v>
      </c>
      <c r="G11" s="755">
        <v>25793.13</v>
      </c>
      <c r="H11" s="755">
        <v>25793.13</v>
      </c>
      <c r="I11" s="755">
        <v>1333.45</v>
      </c>
      <c r="J11" s="455">
        <f t="shared" si="1"/>
        <v>27126.58</v>
      </c>
      <c r="K11" s="634">
        <f t="shared" si="2"/>
        <v>1022.872549019608</v>
      </c>
      <c r="L11" s="635">
        <f>IF('[2]T6-Zamestnanci_a_mzdy'!F11-'[2]T6a-Zamestnanci_a_mzdy (ženy)'!F11=0,0,('[2]T6-Zamestnanci_a_mzdy'!J11-'[2]T6a-Zamestnanci_a_mzdy (ženy)'!J11)/('[2]T6-Zamestnanci_a_mzdy'!F11-'[2]T6a-Zamestnanci_a_mzdy (ženy)'!F11)/12)</f>
        <v>1130.9619113573406</v>
      </c>
    </row>
    <row r="12" spans="1:12" x14ac:dyDescent="0.2">
      <c r="A12" s="31">
        <v>6</v>
      </c>
      <c r="B12" s="27" t="s">
        <v>240</v>
      </c>
      <c r="C12" s="627">
        <v>5.58</v>
      </c>
      <c r="D12" s="627">
        <v>5.58</v>
      </c>
      <c r="E12" s="627"/>
      <c r="F12" s="625">
        <f t="shared" si="0"/>
        <v>5.58</v>
      </c>
      <c r="G12" s="755">
        <v>74879.888999999996</v>
      </c>
      <c r="H12" s="755">
        <v>74879.888999999996</v>
      </c>
      <c r="I12" s="755"/>
      <c r="J12" s="455">
        <f t="shared" si="1"/>
        <v>74879.888999999996</v>
      </c>
      <c r="K12" s="634">
        <f t="shared" si="2"/>
        <v>1118.2779121863798</v>
      </c>
      <c r="L12" s="635">
        <f>IF('[2]T6-Zamestnanci_a_mzdy'!F12-'[2]T6a-Zamestnanci_a_mzdy (ženy)'!F12=0,0,('[2]T6-Zamestnanci_a_mzdy'!J12-'[2]T6a-Zamestnanci_a_mzdy (ženy)'!J12)/('[2]T6-Zamestnanci_a_mzdy'!F12-'[2]T6a-Zamestnanci_a_mzdy (ženy)'!F12)/12)</f>
        <v>1026.3710408022132</v>
      </c>
    </row>
    <row r="13" spans="1:12" x14ac:dyDescent="0.2">
      <c r="A13" s="31">
        <v>7</v>
      </c>
      <c r="B13" s="46" t="s">
        <v>64</v>
      </c>
      <c r="C13" s="627">
        <v>109.41</v>
      </c>
      <c r="D13" s="627">
        <v>109.41</v>
      </c>
      <c r="E13" s="627">
        <v>1.9</v>
      </c>
      <c r="F13" s="625">
        <f t="shared" si="0"/>
        <v>111.31</v>
      </c>
      <c r="G13" s="755">
        <v>1023398.38</v>
      </c>
      <c r="H13" s="755">
        <v>1019832.08</v>
      </c>
      <c r="I13" s="755">
        <v>213437.6</v>
      </c>
      <c r="J13" s="455">
        <f t="shared" si="1"/>
        <v>1236835.98</v>
      </c>
      <c r="K13" s="634">
        <f t="shared" si="2"/>
        <v>925.96949959572373</v>
      </c>
      <c r="L13" s="635">
        <f>IF('[2]T6-Zamestnanci_a_mzdy'!F13-'[2]T6a-Zamestnanci_a_mzdy (ženy)'!F13=0,0,('[2]T6-Zamestnanci_a_mzdy'!J13-'[2]T6a-Zamestnanci_a_mzdy (ženy)'!J13)/('[2]T6-Zamestnanci_a_mzdy'!F13-'[2]T6a-Zamestnanci_a_mzdy (ženy)'!F13)/12)</f>
        <v>1201.2447945500401</v>
      </c>
    </row>
    <row r="14" spans="1:12" x14ac:dyDescent="0.2">
      <c r="A14" s="31"/>
      <c r="B14" s="27" t="s">
        <v>306</v>
      </c>
      <c r="C14" s="628"/>
      <c r="D14" s="628"/>
      <c r="E14" s="628"/>
      <c r="F14" s="629"/>
      <c r="G14" s="756"/>
      <c r="H14" s="756"/>
      <c r="I14" s="756"/>
      <c r="J14" s="757"/>
      <c r="K14" s="636"/>
      <c r="L14" s="637"/>
    </row>
    <row r="15" spans="1:12" x14ac:dyDescent="0.2">
      <c r="A15" s="31">
        <v>8</v>
      </c>
      <c r="B15" s="27" t="s">
        <v>68</v>
      </c>
      <c r="C15" s="627">
        <v>33.07</v>
      </c>
      <c r="D15" s="627">
        <v>33.07</v>
      </c>
      <c r="E15" s="627">
        <v>1.07</v>
      </c>
      <c r="F15" s="625">
        <f t="shared" ref="F15:F21" si="3">C15+E15</f>
        <v>34.14</v>
      </c>
      <c r="G15" s="755">
        <v>307108.45</v>
      </c>
      <c r="H15" s="755">
        <v>307108.45</v>
      </c>
      <c r="I15" s="755">
        <v>197146.8</v>
      </c>
      <c r="J15" s="455">
        <f t="shared" ref="J15:J21" si="4">G15+I15</f>
        <v>504255.25</v>
      </c>
      <c r="K15" s="634">
        <f t="shared" si="2"/>
        <v>1230.8515182581527</v>
      </c>
      <c r="L15" s="635">
        <f>IF('[2]T6-Zamestnanci_a_mzdy'!F15-'[2]T6a-Zamestnanci_a_mzdy (ženy)'!F15=0,0,('[2]T6-Zamestnanci_a_mzdy'!J15-'[2]T6a-Zamestnanci_a_mzdy (ženy)'!J15)/('[2]T6-Zamestnanci_a_mzdy'!F15-'[2]T6a-Zamestnanci_a_mzdy (ženy)'!F15)/12)</f>
        <v>1393.4346381892146</v>
      </c>
    </row>
    <row r="16" spans="1:12" x14ac:dyDescent="0.2">
      <c r="A16" s="31">
        <v>9</v>
      </c>
      <c r="B16" s="46" t="s">
        <v>286</v>
      </c>
      <c r="C16" s="625">
        <f>SUM(C17:C19)</f>
        <v>321.32</v>
      </c>
      <c r="D16" s="625">
        <f>SUM(D17:D19)</f>
        <v>321.32</v>
      </c>
      <c r="E16" s="625">
        <f>SUM(E17:E19)</f>
        <v>51.47</v>
      </c>
      <c r="F16" s="625">
        <f t="shared" si="3"/>
        <v>372.78999999999996</v>
      </c>
      <c r="G16" s="439">
        <f>SUM(G17:G19)</f>
        <v>3665926.44</v>
      </c>
      <c r="H16" s="439">
        <f>SUM(H17:H19)</f>
        <v>3624413.25</v>
      </c>
      <c r="I16" s="439">
        <f>SUM(I17:I19)</f>
        <v>797474.32000000007</v>
      </c>
      <c r="J16" s="455">
        <f t="shared" si="4"/>
        <v>4463400.76</v>
      </c>
      <c r="K16" s="634">
        <f t="shared" si="2"/>
        <v>997.74689056394573</v>
      </c>
      <c r="L16" s="635">
        <f>IF('[2]T6-Zamestnanci_a_mzdy'!F16-'[2]T6a-Zamestnanci_a_mzdy (ženy)'!F16=0,0,('[2]T6-Zamestnanci_a_mzdy'!J16-'[2]T6a-Zamestnanci_a_mzdy (ženy)'!J16)/('[2]T6-Zamestnanci_a_mzdy'!F16-'[2]T6a-Zamestnanci_a_mzdy (ženy)'!F16)/12)</f>
        <v>1437.1567560664116</v>
      </c>
    </row>
    <row r="17" spans="1:12" x14ac:dyDescent="0.2">
      <c r="A17" s="31">
        <v>10</v>
      </c>
      <c r="B17" s="27" t="s">
        <v>241</v>
      </c>
      <c r="C17" s="627">
        <v>56.7</v>
      </c>
      <c r="D17" s="627">
        <v>56.7</v>
      </c>
      <c r="E17" s="627">
        <v>12.2</v>
      </c>
      <c r="F17" s="625">
        <f t="shared" si="3"/>
        <v>68.900000000000006</v>
      </c>
      <c r="G17" s="755">
        <v>737466.47</v>
      </c>
      <c r="H17" s="755">
        <v>737166.47</v>
      </c>
      <c r="I17" s="755">
        <v>254243.28</v>
      </c>
      <c r="J17" s="455">
        <f t="shared" si="4"/>
        <v>991709.75</v>
      </c>
      <c r="K17" s="634">
        <f t="shared" si="2"/>
        <v>1199.4554305757135</v>
      </c>
      <c r="L17" s="635">
        <f>IF('[2]T6-Zamestnanci_a_mzdy'!F17-'[2]T6a-Zamestnanci_a_mzdy (ženy)'!F17=0,0,('[2]T6-Zamestnanci_a_mzdy'!J17-'[2]T6a-Zamestnanci_a_mzdy (ženy)'!J17)/('[2]T6-Zamestnanci_a_mzdy'!F17-'[2]T6a-Zamestnanci_a_mzdy (ženy)'!F17)/12)</f>
        <v>1503.0035938903882</v>
      </c>
    </row>
    <row r="18" spans="1:12" x14ac:dyDescent="0.2">
      <c r="A18" s="31">
        <v>11</v>
      </c>
      <c r="B18" s="27" t="s">
        <v>189</v>
      </c>
      <c r="C18" s="627">
        <v>182.62</v>
      </c>
      <c r="D18" s="627">
        <v>182.62</v>
      </c>
      <c r="E18" s="627">
        <v>5.26</v>
      </c>
      <c r="F18" s="625">
        <f t="shared" si="3"/>
        <v>187.88</v>
      </c>
      <c r="G18" s="755">
        <v>2112837.15</v>
      </c>
      <c r="H18" s="755">
        <v>2104927.77</v>
      </c>
      <c r="I18" s="755">
        <v>128595.16</v>
      </c>
      <c r="J18" s="455">
        <f t="shared" si="4"/>
        <v>2241432.31</v>
      </c>
      <c r="K18" s="634">
        <f t="shared" si="2"/>
        <v>994.17727184018167</v>
      </c>
      <c r="L18" s="635">
        <f>IF('[2]T6-Zamestnanci_a_mzdy'!F18-'[2]T6a-Zamestnanci_a_mzdy (ženy)'!F18=0,0,('[2]T6-Zamestnanci_a_mzdy'!J18-'[2]T6a-Zamestnanci_a_mzdy (ženy)'!J18)/('[2]T6-Zamestnanci_a_mzdy'!F18-'[2]T6a-Zamestnanci_a_mzdy (ženy)'!F18)/12)</f>
        <v>1914.52890950652</v>
      </c>
    </row>
    <row r="19" spans="1:12" x14ac:dyDescent="0.2">
      <c r="A19" s="31">
        <v>12</v>
      </c>
      <c r="B19" s="27" t="s">
        <v>167</v>
      </c>
      <c r="C19" s="627">
        <v>82</v>
      </c>
      <c r="D19" s="627">
        <v>82</v>
      </c>
      <c r="E19" s="627">
        <v>34.01</v>
      </c>
      <c r="F19" s="625">
        <f t="shared" si="3"/>
        <v>116.00999999999999</v>
      </c>
      <c r="G19" s="755">
        <v>815622.82</v>
      </c>
      <c r="H19" s="755">
        <v>782319.01</v>
      </c>
      <c r="I19" s="755">
        <v>414635.88</v>
      </c>
      <c r="J19" s="455">
        <f t="shared" si="4"/>
        <v>1230258.7</v>
      </c>
      <c r="K19" s="634">
        <f t="shared" si="2"/>
        <v>883.73035370514037</v>
      </c>
      <c r="L19" s="635">
        <f>IF('[2]T6-Zamestnanci_a_mzdy'!F19-'[2]T6a-Zamestnanci_a_mzdy (ženy)'!F19=0,0,('[2]T6-Zamestnanci_a_mzdy'!J19-'[2]T6a-Zamestnanci_a_mzdy (ženy)'!J19)/('[2]T6-Zamestnanci_a_mzdy'!F19-'[2]T6a-Zamestnanci_a_mzdy (ženy)'!F19)/12)</f>
        <v>937.10902940411142</v>
      </c>
    </row>
    <row r="20" spans="1:12" x14ac:dyDescent="0.2">
      <c r="A20" s="31">
        <v>13</v>
      </c>
      <c r="B20" s="46" t="s">
        <v>283</v>
      </c>
      <c r="C20" s="627">
        <v>112.98</v>
      </c>
      <c r="D20" s="627">
        <v>110.93</v>
      </c>
      <c r="E20" s="627">
        <v>4.0999999999999996</v>
      </c>
      <c r="F20" s="625">
        <f t="shared" si="3"/>
        <v>117.08</v>
      </c>
      <c r="G20" s="755">
        <v>1360764.38</v>
      </c>
      <c r="H20" s="755">
        <v>1303497.06</v>
      </c>
      <c r="I20" s="755">
        <v>117151.83</v>
      </c>
      <c r="J20" s="455">
        <f t="shared" si="4"/>
        <v>1477916.21</v>
      </c>
      <c r="K20" s="634">
        <f t="shared" si="2"/>
        <v>1051.9276064798999</v>
      </c>
      <c r="L20" s="635">
        <f>IF('[2]T6-Zamestnanci_a_mzdy'!F20-'[2]T6a-Zamestnanci_a_mzdy (ženy)'!F20=0,0,('[2]T6-Zamestnanci_a_mzdy'!J20-'[2]T6a-Zamestnanci_a_mzdy (ženy)'!J20)/('[2]T6-Zamestnanci_a_mzdy'!F20-'[2]T6a-Zamestnanci_a_mzdy (ženy)'!F20)/12)</f>
        <v>1239.6995729957084</v>
      </c>
    </row>
    <row r="21" spans="1:12" ht="31.5" x14ac:dyDescent="0.2">
      <c r="A21" s="31">
        <v>14</v>
      </c>
      <c r="B21" s="46" t="s">
        <v>65</v>
      </c>
      <c r="C21" s="627">
        <v>151.81</v>
      </c>
      <c r="D21" s="627">
        <v>151.81</v>
      </c>
      <c r="E21" s="627">
        <v>4.2300000000000004</v>
      </c>
      <c r="F21" s="625">
        <f t="shared" si="3"/>
        <v>156.04</v>
      </c>
      <c r="G21" s="755">
        <v>939990.2</v>
      </c>
      <c r="H21" s="755">
        <v>939462.4</v>
      </c>
      <c r="I21" s="755">
        <v>96746.99</v>
      </c>
      <c r="J21" s="455">
        <f t="shared" si="4"/>
        <v>1036737.19</v>
      </c>
      <c r="K21" s="634">
        <f t="shared" si="2"/>
        <v>553.67063466632487</v>
      </c>
      <c r="L21" s="635">
        <f>IF('[2]T6-Zamestnanci_a_mzdy'!F21-'[2]T6a-Zamestnanci_a_mzdy (ženy)'!F21=0,0,('[2]T6-Zamestnanci_a_mzdy'!J21-'[2]T6a-Zamestnanci_a_mzdy (ženy)'!J21)/('[2]T6-Zamestnanci_a_mzdy'!F21-'[2]T6a-Zamestnanci_a_mzdy (ženy)'!F21)/12)</f>
        <v>682.00647400710375</v>
      </c>
    </row>
    <row r="22" spans="1:12" ht="47.25" x14ac:dyDescent="0.2">
      <c r="A22" s="31">
        <v>15</v>
      </c>
      <c r="B22" s="46" t="s">
        <v>327</v>
      </c>
      <c r="C22" s="625">
        <f>SUM(C23:C26)</f>
        <v>0</v>
      </c>
      <c r="D22" s="625">
        <f>SUM(D23:D26)</f>
        <v>0</v>
      </c>
      <c r="E22" s="625">
        <f>SUM(E23:E26)</f>
        <v>0</v>
      </c>
      <c r="F22" s="625">
        <f>SUM(F27:F27)</f>
        <v>0</v>
      </c>
      <c r="G22" s="439">
        <f>SUM(G23:G26)</f>
        <v>0</v>
      </c>
      <c r="H22" s="439">
        <f>SUM(H23:H26)</f>
        <v>0</v>
      </c>
      <c r="I22" s="439">
        <f>SUM(I23:I26)</f>
        <v>0</v>
      </c>
      <c r="J22" s="455">
        <f>SUM(J23:J26)</f>
        <v>0</v>
      </c>
      <c r="K22" s="634">
        <f t="shared" si="2"/>
        <v>0</v>
      </c>
      <c r="L22" s="635">
        <f>IF('[2]T6-Zamestnanci_a_mzdy'!F22-'[2]T6a-Zamestnanci_a_mzdy (ženy)'!F22=0,0,('[2]T6-Zamestnanci_a_mzdy'!J22-'[2]T6a-Zamestnanci_a_mzdy (ženy)'!J22)/('[2]T6-Zamestnanci_a_mzdy'!F22-'[2]T6a-Zamestnanci_a_mzdy (ženy)'!F22)/12)</f>
        <v>522.75</v>
      </c>
    </row>
    <row r="23" spans="1:12" x14ac:dyDescent="0.2">
      <c r="A23" s="31" t="s">
        <v>284</v>
      </c>
      <c r="B23" s="47"/>
      <c r="C23" s="627"/>
      <c r="D23" s="627"/>
      <c r="E23" s="627"/>
      <c r="F23" s="625">
        <f t="shared" ref="F23:F29" si="5">C23+E23</f>
        <v>0</v>
      </c>
      <c r="G23" s="755"/>
      <c r="H23" s="755"/>
      <c r="I23" s="755"/>
      <c r="J23" s="455">
        <f>G23+I23</f>
        <v>0</v>
      </c>
      <c r="K23" s="634">
        <f t="shared" si="2"/>
        <v>0</v>
      </c>
      <c r="L23" s="635">
        <f>IF('[2]T6-Zamestnanci_a_mzdy'!F23-'[2]T6a-Zamestnanci_a_mzdy (ženy)'!F23=0,0,('[2]T6-Zamestnanci_a_mzdy'!J23-'[2]T6a-Zamestnanci_a_mzdy (ženy)'!J23)/('[2]T6-Zamestnanci_a_mzdy'!F23-'[2]T6a-Zamestnanci_a_mzdy (ženy)'!F23)/12)</f>
        <v>522.75</v>
      </c>
    </row>
    <row r="24" spans="1:12" x14ac:dyDescent="0.2">
      <c r="A24" s="31" t="s">
        <v>396</v>
      </c>
      <c r="B24" s="47"/>
      <c r="C24" s="627"/>
      <c r="D24" s="627"/>
      <c r="E24" s="627"/>
      <c r="F24" s="625">
        <f t="shared" si="5"/>
        <v>0</v>
      </c>
      <c r="G24" s="755"/>
      <c r="H24" s="755"/>
      <c r="I24" s="755"/>
      <c r="J24" s="455">
        <f>G24+I24</f>
        <v>0</v>
      </c>
      <c r="K24" s="634">
        <f t="shared" si="2"/>
        <v>0</v>
      </c>
      <c r="L24" s="635">
        <f>IF('[2]T6-Zamestnanci_a_mzdy'!F24-'[2]T6a-Zamestnanci_a_mzdy (ženy)'!F24=0,0,('[2]T6-Zamestnanci_a_mzdy'!J24-'[2]T6a-Zamestnanci_a_mzdy (ženy)'!J24)/('[2]T6-Zamestnanci_a_mzdy'!F24-'[2]T6a-Zamestnanci_a_mzdy (ženy)'!F24)/12)</f>
        <v>0</v>
      </c>
    </row>
    <row r="25" spans="1:12" x14ac:dyDescent="0.2">
      <c r="A25" s="31" t="s">
        <v>397</v>
      </c>
      <c r="B25" s="47"/>
      <c r="C25" s="627"/>
      <c r="D25" s="627"/>
      <c r="E25" s="627"/>
      <c r="F25" s="625">
        <f t="shared" si="5"/>
        <v>0</v>
      </c>
      <c r="G25" s="755"/>
      <c r="H25" s="755"/>
      <c r="I25" s="755"/>
      <c r="J25" s="455">
        <f>G25+I25</f>
        <v>0</v>
      </c>
      <c r="K25" s="634">
        <f t="shared" si="2"/>
        <v>0</v>
      </c>
      <c r="L25" s="635">
        <f>IF('[2]T6-Zamestnanci_a_mzdy'!F25-'[2]T6a-Zamestnanci_a_mzdy (ženy)'!F25=0,0,('[2]T6-Zamestnanci_a_mzdy'!J25-'[2]T6a-Zamestnanci_a_mzdy (ženy)'!J25)/('[2]T6-Zamestnanci_a_mzdy'!F25-'[2]T6a-Zamestnanci_a_mzdy (ženy)'!F25)/12)</f>
        <v>0</v>
      </c>
    </row>
    <row r="26" spans="1:12" ht="16.5" customHeight="1" x14ac:dyDescent="0.2">
      <c r="A26" s="31" t="s">
        <v>398</v>
      </c>
      <c r="B26" s="47"/>
      <c r="C26" s="627"/>
      <c r="D26" s="627"/>
      <c r="E26" s="627"/>
      <c r="F26" s="625">
        <f t="shared" si="5"/>
        <v>0</v>
      </c>
      <c r="G26" s="755"/>
      <c r="H26" s="755"/>
      <c r="I26" s="755"/>
      <c r="J26" s="455">
        <f>G26+I26</f>
        <v>0</v>
      </c>
      <c r="K26" s="634">
        <f t="shared" si="2"/>
        <v>0</v>
      </c>
      <c r="L26" s="635">
        <f>IF('[2]T6-Zamestnanci_a_mzdy'!F26-'[2]T6a-Zamestnanci_a_mzdy (ženy)'!F26=0,0,('[2]T6-Zamestnanci_a_mzdy'!J26-'[2]T6a-Zamestnanci_a_mzdy (ženy)'!J26)/('[2]T6-Zamestnanci_a_mzdy'!F26-'[2]T6a-Zamestnanci_a_mzdy (ženy)'!F26)/12)</f>
        <v>0</v>
      </c>
    </row>
    <row r="27" spans="1:12" x14ac:dyDescent="0.2">
      <c r="A27" s="31"/>
      <c r="B27" s="27"/>
      <c r="C27" s="628"/>
      <c r="D27" s="628"/>
      <c r="E27" s="628"/>
      <c r="F27" s="629">
        <f t="shared" si="5"/>
        <v>0</v>
      </c>
      <c r="G27" s="756"/>
      <c r="H27" s="756"/>
      <c r="I27" s="756"/>
      <c r="J27" s="757"/>
      <c r="K27" s="636"/>
      <c r="L27" s="637"/>
    </row>
    <row r="28" spans="1:12" x14ac:dyDescent="0.2">
      <c r="A28" s="31">
        <v>16</v>
      </c>
      <c r="B28" s="46" t="s">
        <v>66</v>
      </c>
      <c r="C28" s="627">
        <v>117.76</v>
      </c>
      <c r="D28" s="627">
        <v>117.76</v>
      </c>
      <c r="E28" s="627"/>
      <c r="F28" s="625">
        <f t="shared" si="5"/>
        <v>117.76</v>
      </c>
      <c r="G28" s="755">
        <v>880517.07</v>
      </c>
      <c r="H28" s="755">
        <v>880517.07</v>
      </c>
      <c r="I28" s="755">
        <v>99623.9</v>
      </c>
      <c r="J28" s="455">
        <f>G28+I28</f>
        <v>980140.97</v>
      </c>
      <c r="K28" s="634">
        <f t="shared" si="2"/>
        <v>693.60066377943838</v>
      </c>
      <c r="L28" s="635">
        <f>IF('[2]T6-Zamestnanci_a_mzdy'!F28-'[2]T6a-Zamestnanci_a_mzdy (ženy)'!F28=0,0,('[2]T6-Zamestnanci_a_mzdy'!J28-'[2]T6a-Zamestnanci_a_mzdy (ženy)'!J28)/('[2]T6-Zamestnanci_a_mzdy'!F28-'[2]T6a-Zamestnanci_a_mzdy (ženy)'!F28)/12)</f>
        <v>751.40725826875348</v>
      </c>
    </row>
    <row r="29" spans="1:12" x14ac:dyDescent="0.2">
      <c r="A29" s="31">
        <v>17</v>
      </c>
      <c r="B29" s="46" t="s">
        <v>67</v>
      </c>
      <c r="C29" s="627"/>
      <c r="D29" s="627"/>
      <c r="E29" s="627">
        <v>42.48</v>
      </c>
      <c r="F29" s="625">
        <f t="shared" si="5"/>
        <v>42.48</v>
      </c>
      <c r="G29" s="755"/>
      <c r="H29" s="755"/>
      <c r="I29" s="755">
        <v>378291.46</v>
      </c>
      <c r="J29" s="455">
        <f>G29+I29</f>
        <v>378291.46</v>
      </c>
      <c r="K29" s="634">
        <f t="shared" si="2"/>
        <v>742.09718298807286</v>
      </c>
      <c r="L29" s="635">
        <f>IF('[2]T6-Zamestnanci_a_mzdy'!F29-'[2]T6a-Zamestnanci_a_mzdy (ženy)'!F29=0,0,('[2]T6-Zamestnanci_a_mzdy'!J29-'[2]T6a-Zamestnanci_a_mzdy (ženy)'!J29)/('[2]T6-Zamestnanci_a_mzdy'!F29-'[2]T6a-Zamestnanci_a_mzdy (ženy)'!F29)/12)</f>
        <v>794.40291120815084</v>
      </c>
    </row>
    <row r="30" spans="1:12" ht="16.5" thickBot="1" x14ac:dyDescent="0.25">
      <c r="A30" s="32">
        <v>18</v>
      </c>
      <c r="B30" s="48" t="s">
        <v>328</v>
      </c>
      <c r="C30" s="631">
        <f t="shared" ref="C30:J30" si="6">C7+C13+C16+C20+C21+C28+C29</f>
        <v>1158.5999999999999</v>
      </c>
      <c r="D30" s="631">
        <f t="shared" si="6"/>
        <v>1156.44</v>
      </c>
      <c r="E30" s="631">
        <f t="shared" si="6"/>
        <v>104.85</v>
      </c>
      <c r="F30" s="631">
        <f t="shared" si="6"/>
        <v>1263.45</v>
      </c>
      <c r="G30" s="397">
        <f t="shared" si="6"/>
        <v>13330114.138999999</v>
      </c>
      <c r="H30" s="397">
        <f t="shared" si="6"/>
        <v>13139526.689000003</v>
      </c>
      <c r="I30" s="397">
        <f t="shared" si="6"/>
        <v>1862157.75</v>
      </c>
      <c r="J30" s="456">
        <f t="shared" si="6"/>
        <v>15192271.889000002</v>
      </c>
      <c r="K30" s="638">
        <f t="shared" si="2"/>
        <v>1002.0362162465209</v>
      </c>
      <c r="L30" s="639">
        <f>IF('[2]T6-Zamestnanci_a_mzdy'!F30-'[2]T6a-Zamestnanci_a_mzdy (ženy)'!F30=0,0,('[2]T6-Zamestnanci_a_mzdy'!J30-'[2]T6a-Zamestnanci_a_mzdy (ženy)'!J30)/('[2]T6-Zamestnanci_a_mzdy'!F30-'[2]T6a-Zamestnanci_a_mzdy (ženy)'!F30)/12)</f>
        <v>1331.6926700608931</v>
      </c>
    </row>
    <row r="31" spans="1:12" x14ac:dyDescent="0.2">
      <c r="A31" s="18"/>
      <c r="B31" s="18"/>
      <c r="C31" s="21"/>
      <c r="D31" s="18"/>
      <c r="E31" s="18"/>
      <c r="F31" s="21"/>
      <c r="G31" s="21"/>
      <c r="H31" s="21"/>
      <c r="I31" s="21"/>
      <c r="J31" s="21"/>
    </row>
    <row r="32" spans="1:12" x14ac:dyDescent="0.25">
      <c r="A32" s="909" t="s">
        <v>10</v>
      </c>
      <c r="B32" s="910"/>
      <c r="C32" s="910"/>
      <c r="D32" s="910"/>
      <c r="E32" s="910"/>
      <c r="F32" s="910"/>
      <c r="G32" s="910"/>
      <c r="H32" s="910"/>
      <c r="I32" s="910"/>
      <c r="J32" s="911"/>
    </row>
    <row r="33" spans="1:12" x14ac:dyDescent="0.25">
      <c r="A33" s="919" t="s">
        <v>871</v>
      </c>
      <c r="B33" s="920"/>
      <c r="C33" s="920"/>
      <c r="D33" s="920"/>
      <c r="E33" s="920"/>
      <c r="F33" s="920"/>
      <c r="G33" s="920"/>
      <c r="H33" s="920"/>
      <c r="I33" s="920"/>
      <c r="J33" s="921"/>
      <c r="L33" s="681"/>
    </row>
    <row r="34" spans="1:12" ht="50.25" customHeight="1" x14ac:dyDescent="0.2">
      <c r="B34" s="917" t="s">
        <v>753</v>
      </c>
      <c r="C34" s="917"/>
      <c r="D34" s="917"/>
      <c r="E34" s="917"/>
      <c r="F34" s="917"/>
      <c r="G34" s="917"/>
      <c r="H34" s="917"/>
      <c r="I34" s="917"/>
      <c r="J34" s="917"/>
    </row>
    <row r="35" spans="1:12" x14ac:dyDescent="0.2">
      <c r="B35" s="197" t="s">
        <v>729</v>
      </c>
    </row>
    <row r="36" spans="1:12" x14ac:dyDescent="0.2">
      <c r="B36" s="197" t="s">
        <v>730</v>
      </c>
    </row>
    <row r="37" spans="1:12" x14ac:dyDescent="0.2">
      <c r="B37" s="197" t="s">
        <v>731</v>
      </c>
    </row>
  </sheetData>
  <mergeCells count="17">
    <mergeCell ref="A32:J32"/>
    <mergeCell ref="A33:J33"/>
    <mergeCell ref="L3:L5"/>
    <mergeCell ref="B34:J34"/>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64" orientation="landscape" r:id="rId1"/>
  <headerFooter alignWithMargins="0"/>
  <ignoredErrors>
    <ignoredError sqref="C7:L30" formulaRange="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pageSetUpPr fitToPage="1"/>
  </sheetPr>
  <dimension ref="A1:J25"/>
  <sheetViews>
    <sheetView zoomScale="80" zoomScaleNormal="80" workbookViewId="0">
      <pane xSplit="2" ySplit="6" topLeftCell="G7" activePane="bottomRight" state="frozen"/>
      <selection pane="topRight" activeCell="C1" sqref="C1"/>
      <selection pane="bottomLeft" activeCell="A7" sqref="A7"/>
      <selection pane="bottomRight" activeCell="H15" sqref="H15:I16"/>
    </sheetView>
  </sheetViews>
  <sheetFormatPr defaultColWidth="9.140625" defaultRowHeight="15.75" x14ac:dyDescent="0.25"/>
  <cols>
    <col min="1" max="1" width="9.140625" style="145"/>
    <col min="2" max="2" width="70.42578125" style="145" customWidth="1"/>
    <col min="3" max="3" width="23.140625" style="145" customWidth="1"/>
    <col min="4" max="4" width="23.85546875" style="145" customWidth="1"/>
    <col min="5" max="5" width="24.5703125" style="145" bestFit="1" customWidth="1"/>
    <col min="6" max="6" width="24.42578125" style="145" customWidth="1"/>
    <col min="7" max="7" width="24" style="145" customWidth="1"/>
    <col min="8" max="8" width="15.42578125" style="145" customWidth="1"/>
    <col min="9" max="9" width="12.28515625" style="145" bestFit="1" customWidth="1"/>
    <col min="10" max="10" width="10.42578125" style="145" bestFit="1" customWidth="1"/>
    <col min="11" max="16384" width="9.140625" style="145"/>
  </cols>
  <sheetData>
    <row r="1" spans="1:10" ht="39.75" customHeight="1" thickBot="1" x14ac:dyDescent="0.3">
      <c r="A1" s="929" t="s">
        <v>997</v>
      </c>
      <c r="B1" s="930"/>
      <c r="C1" s="930"/>
      <c r="D1" s="930"/>
      <c r="E1" s="930"/>
      <c r="F1" s="930"/>
      <c r="G1" s="931"/>
    </row>
    <row r="2" spans="1:10" ht="44.25" customHeight="1" x14ac:dyDescent="0.25">
      <c r="A2" s="932" t="s">
        <v>1324</v>
      </c>
      <c r="B2" s="933"/>
      <c r="C2" s="933"/>
      <c r="D2" s="933"/>
      <c r="E2" s="933"/>
      <c r="F2" s="933"/>
      <c r="G2" s="934"/>
    </row>
    <row r="3" spans="1:10" ht="41.25" customHeight="1" x14ac:dyDescent="0.25">
      <c r="A3" s="935" t="s">
        <v>208</v>
      </c>
      <c r="B3" s="936" t="s">
        <v>335</v>
      </c>
      <c r="C3" s="939" t="s">
        <v>915</v>
      </c>
      <c r="D3" s="940"/>
      <c r="E3" s="941" t="s">
        <v>942</v>
      </c>
      <c r="F3" s="944" t="s">
        <v>943</v>
      </c>
      <c r="G3" s="947" t="s">
        <v>800</v>
      </c>
    </row>
    <row r="4" spans="1:10" ht="18.75" customHeight="1" x14ac:dyDescent="0.25">
      <c r="A4" s="935"/>
      <c r="B4" s="937"/>
      <c r="C4" s="950" t="s">
        <v>345</v>
      </c>
      <c r="D4" s="951"/>
      <c r="E4" s="942"/>
      <c r="F4" s="945"/>
      <c r="G4" s="948"/>
    </row>
    <row r="5" spans="1:10" ht="47.25" customHeight="1" x14ac:dyDescent="0.25">
      <c r="A5" s="935"/>
      <c r="B5" s="938"/>
      <c r="C5" s="328" t="s">
        <v>858</v>
      </c>
      <c r="D5" s="335" t="s">
        <v>782</v>
      </c>
      <c r="E5" s="943"/>
      <c r="F5" s="946"/>
      <c r="G5" s="949"/>
    </row>
    <row r="6" spans="1:10" ht="26.25" customHeight="1" x14ac:dyDescent="0.25">
      <c r="A6" s="240"/>
      <c r="B6" s="241"/>
      <c r="C6" s="436" t="s">
        <v>289</v>
      </c>
      <c r="D6" s="436" t="s">
        <v>290</v>
      </c>
      <c r="E6" s="436" t="s">
        <v>291</v>
      </c>
      <c r="F6" s="437" t="s">
        <v>298</v>
      </c>
      <c r="G6" s="438" t="s">
        <v>783</v>
      </c>
    </row>
    <row r="7" spans="1:10" ht="21.75" customHeight="1" x14ac:dyDescent="0.25">
      <c r="A7" s="149">
        <v>1</v>
      </c>
      <c r="B7" s="146" t="s">
        <v>792</v>
      </c>
      <c r="C7" s="439">
        <f>C8+C11</f>
        <v>62367.91</v>
      </c>
      <c r="D7" s="439">
        <f>D8+D11</f>
        <v>0</v>
      </c>
      <c r="E7" s="54">
        <f>E8+E11</f>
        <v>636</v>
      </c>
      <c r="F7" s="439">
        <f>F8+F11</f>
        <v>3582448.21</v>
      </c>
      <c r="G7" s="439">
        <f>SUM(C7:F7)</f>
        <v>3645452.12</v>
      </c>
      <c r="H7" s="379"/>
    </row>
    <row r="8" spans="1:10" ht="31.5" x14ac:dyDescent="0.25">
      <c r="A8" s="149">
        <v>2</v>
      </c>
      <c r="B8" s="150" t="s">
        <v>801</v>
      </c>
      <c r="C8" s="439">
        <f>C9</f>
        <v>2727.5</v>
      </c>
      <c r="D8" s="440">
        <f>D10</f>
        <v>0</v>
      </c>
      <c r="E8" s="54">
        <f>SUM(E9:E10)</f>
        <v>0</v>
      </c>
      <c r="F8" s="439">
        <f>SUM(F9:F10)</f>
        <v>1425623.04</v>
      </c>
      <c r="G8" s="441">
        <f t="shared" ref="G8:G17" si="0">SUM(C8:F8)</f>
        <v>1428350.54</v>
      </c>
      <c r="H8" s="442"/>
      <c r="J8" s="442"/>
    </row>
    <row r="9" spans="1:10" ht="31.5" x14ac:dyDescent="0.25">
      <c r="A9" s="149">
        <v>3</v>
      </c>
      <c r="B9" s="185" t="s">
        <v>860</v>
      </c>
      <c r="C9" s="443">
        <v>2727.5</v>
      </c>
      <c r="D9" s="444" t="s">
        <v>320</v>
      </c>
      <c r="E9" s="51">
        <v>0</v>
      </c>
      <c r="F9" s="445">
        <v>1425090.04</v>
      </c>
      <c r="G9" s="441">
        <f t="shared" si="0"/>
        <v>1427817.54</v>
      </c>
      <c r="H9" s="442"/>
    </row>
    <row r="10" spans="1:10" ht="31.5" x14ac:dyDescent="0.25">
      <c r="A10" s="149">
        <v>4</v>
      </c>
      <c r="B10" s="185" t="s">
        <v>920</v>
      </c>
      <c r="C10" s="444" t="s">
        <v>320</v>
      </c>
      <c r="D10" s="443">
        <v>0</v>
      </c>
      <c r="E10" s="51">
        <v>0</v>
      </c>
      <c r="F10" s="445">
        <v>533</v>
      </c>
      <c r="G10" s="441">
        <f t="shared" si="0"/>
        <v>533</v>
      </c>
      <c r="H10" s="442"/>
      <c r="J10" s="442"/>
    </row>
    <row r="11" spans="1:10" ht="31.5" x14ac:dyDescent="0.25">
      <c r="A11" s="149">
        <v>5</v>
      </c>
      <c r="B11" s="150" t="s">
        <v>802</v>
      </c>
      <c r="C11" s="439">
        <f>C12</f>
        <v>59640.41</v>
      </c>
      <c r="D11" s="439">
        <f>D13</f>
        <v>0</v>
      </c>
      <c r="E11" s="54">
        <f>SUM(E12:E13)</f>
        <v>636</v>
      </c>
      <c r="F11" s="439">
        <f>SUM(F12:F13)</f>
        <v>2156825.17</v>
      </c>
      <c r="G11" s="441">
        <f>SUM(C11:E11)</f>
        <v>60276.41</v>
      </c>
      <c r="H11"/>
      <c r="I11" s="442"/>
    </row>
    <row r="12" spans="1:10" ht="31.5" x14ac:dyDescent="0.25">
      <c r="A12" s="149">
        <v>6</v>
      </c>
      <c r="B12" s="185" t="s">
        <v>861</v>
      </c>
      <c r="C12" s="443">
        <v>59640.41</v>
      </c>
      <c r="D12" s="444" t="s">
        <v>320</v>
      </c>
      <c r="E12" s="51">
        <v>636</v>
      </c>
      <c r="F12" s="443">
        <v>2155001.17</v>
      </c>
      <c r="G12" s="441">
        <f t="shared" si="0"/>
        <v>2215277.58</v>
      </c>
      <c r="H12"/>
      <c r="I12" s="442"/>
    </row>
    <row r="13" spans="1:10" s="19" customFormat="1" ht="31.5" x14ac:dyDescent="0.25">
      <c r="A13" s="149">
        <v>7</v>
      </c>
      <c r="B13" s="185" t="s">
        <v>921</v>
      </c>
      <c r="C13" s="444" t="s">
        <v>320</v>
      </c>
      <c r="D13" s="443">
        <v>0</v>
      </c>
      <c r="E13" s="51">
        <v>0</v>
      </c>
      <c r="F13" s="443">
        <v>1824</v>
      </c>
      <c r="G13" s="441">
        <f t="shared" si="0"/>
        <v>1824</v>
      </c>
      <c r="H13" s="145"/>
    </row>
    <row r="14" spans="1:10" ht="31.5" x14ac:dyDescent="0.25">
      <c r="A14" s="149">
        <v>8</v>
      </c>
      <c r="B14" s="117" t="s">
        <v>1087</v>
      </c>
      <c r="C14" s="443">
        <v>0</v>
      </c>
      <c r="D14" s="444" t="s">
        <v>320</v>
      </c>
      <c r="E14" s="44" t="s">
        <v>320</v>
      </c>
      <c r="F14" s="444" t="s">
        <v>320</v>
      </c>
      <c r="G14" s="441">
        <f>SUM(C14:F14)</f>
        <v>0</v>
      </c>
      <c r="H14"/>
    </row>
    <row r="15" spans="1:10" ht="31.5" x14ac:dyDescent="0.25">
      <c r="A15" s="149">
        <v>9</v>
      </c>
      <c r="B15" s="150" t="s">
        <v>1084</v>
      </c>
      <c r="C15" s="443">
        <v>67456</v>
      </c>
      <c r="D15" s="443">
        <v>0</v>
      </c>
      <c r="E15" s="44" t="s">
        <v>320</v>
      </c>
      <c r="F15" s="444" t="s">
        <v>320</v>
      </c>
      <c r="G15" s="441">
        <f t="shared" si="0"/>
        <v>67456</v>
      </c>
      <c r="H15" s="357"/>
    </row>
    <row r="16" spans="1:10" ht="39" customHeight="1" x14ac:dyDescent="0.25">
      <c r="A16" s="149">
        <v>10</v>
      </c>
      <c r="B16" s="150" t="s">
        <v>1086</v>
      </c>
      <c r="C16" s="446">
        <f>C14+C15-C7</f>
        <v>5088.0899999999965</v>
      </c>
      <c r="D16" s="444" t="s">
        <v>320</v>
      </c>
      <c r="E16" s="44" t="s">
        <v>320</v>
      </c>
      <c r="F16" s="444" t="s">
        <v>320</v>
      </c>
      <c r="G16" s="441">
        <f t="shared" si="0"/>
        <v>5088.0899999999965</v>
      </c>
      <c r="H16" s="357"/>
    </row>
    <row r="17" spans="1:7" ht="21" customHeight="1" x14ac:dyDescent="0.25">
      <c r="A17" s="149">
        <v>11</v>
      </c>
      <c r="B17" s="151" t="s">
        <v>1085</v>
      </c>
      <c r="C17" s="443">
        <v>106</v>
      </c>
      <c r="D17" s="444" t="s">
        <v>320</v>
      </c>
      <c r="E17" s="51">
        <v>1</v>
      </c>
      <c r="F17" s="445">
        <v>6015</v>
      </c>
      <c r="G17" s="441">
        <f t="shared" si="0"/>
        <v>6122</v>
      </c>
    </row>
    <row r="18" spans="1:7" ht="21" customHeight="1" thickBot="1" x14ac:dyDescent="0.3">
      <c r="A18" s="249">
        <v>12</v>
      </c>
      <c r="B18" s="152" t="s">
        <v>403</v>
      </c>
      <c r="C18" s="447">
        <f>IF(C17=0,0,+(C7+D7)/C17)</f>
        <v>588.37650943396227</v>
      </c>
      <c r="D18" s="448" t="s">
        <v>320</v>
      </c>
      <c r="E18" s="758">
        <f>IF(E17=0,0,+E7/E17)</f>
        <v>636</v>
      </c>
      <c r="F18" s="447">
        <f>IF(F17=0,0,+F7/F17)</f>
        <v>595.58573732335822</v>
      </c>
      <c r="G18" s="449">
        <f>IF(G17=0,0,+G7/G17)</f>
        <v>595.46751388435155</v>
      </c>
    </row>
    <row r="20" spans="1:7" x14ac:dyDescent="0.25">
      <c r="A20" s="329" t="s">
        <v>1083</v>
      </c>
      <c r="B20" s="330"/>
      <c r="C20" s="330"/>
      <c r="D20" s="330"/>
      <c r="E20" s="330"/>
      <c r="F20" s="330"/>
      <c r="G20" s="331"/>
    </row>
    <row r="21" spans="1:7" x14ac:dyDescent="0.25">
      <c r="A21" s="332" t="s">
        <v>998</v>
      </c>
      <c r="B21" s="333"/>
      <c r="C21" s="333"/>
      <c r="D21" s="333"/>
      <c r="E21" s="333"/>
      <c r="F21" s="333"/>
      <c r="G21" s="334"/>
    </row>
    <row r="24" spans="1:7" x14ac:dyDescent="0.25">
      <c r="G24" s="442"/>
    </row>
    <row r="25" spans="1:7" x14ac:dyDescent="0.25">
      <c r="G25" s="442"/>
    </row>
  </sheetData>
  <mergeCells count="9">
    <mergeCell ref="A1:G1"/>
    <mergeCell ref="A2:G2"/>
    <mergeCell ref="A3:A5"/>
    <mergeCell ref="B3:B5"/>
    <mergeCell ref="C3:D3"/>
    <mergeCell ref="E3:E5"/>
    <mergeCell ref="F3:F5"/>
    <mergeCell ref="G3:G5"/>
    <mergeCell ref="C4:D4"/>
  </mergeCells>
  <pageMargins left="0.45" right="0.33" top="0.74803149606299213" bottom="0.74803149606299213" header="0.31496062992125984" footer="0.31496062992125984"/>
  <pageSetup paperSize="9" scale="71" orientation="landscape" r:id="rId1"/>
  <ignoredErrors>
    <ignoredError sqref="G11"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N15"/>
  <sheetViews>
    <sheetView zoomScale="90" zoomScaleNormal="90" workbookViewId="0">
      <pane xSplit="2" ySplit="5" topLeftCell="E6" activePane="bottomRight" state="frozen"/>
      <selection pane="topRight" activeCell="C1" sqref="C1"/>
      <selection pane="bottomLeft" activeCell="A6" sqref="A6"/>
      <selection pane="bottomRight" activeCell="E18" sqref="E18"/>
    </sheetView>
  </sheetViews>
  <sheetFormatPr defaultColWidth="9.140625" defaultRowHeight="15.75" x14ac:dyDescent="0.2"/>
  <cols>
    <col min="1" max="1" width="8.140625" style="19" customWidth="1"/>
    <col min="2" max="2" width="93.140625" style="63" customWidth="1"/>
    <col min="3" max="3" width="22" style="19" bestFit="1" customWidth="1"/>
    <col min="4" max="4" width="17.140625" style="19" customWidth="1"/>
    <col min="5" max="5" width="22" style="19" bestFit="1" customWidth="1"/>
    <col min="6" max="6" width="18" style="19" customWidth="1"/>
    <col min="7" max="7" width="7.5703125" style="19" customWidth="1"/>
    <col min="8" max="8" width="10.42578125" style="19" bestFit="1" customWidth="1"/>
    <col min="9" max="9" width="9.140625" style="19"/>
    <col min="10" max="10" width="12.140625" style="19" bestFit="1" customWidth="1"/>
    <col min="11" max="11" width="13.140625" style="19" bestFit="1" customWidth="1"/>
    <col min="12" max="16384" width="9.140625" style="19"/>
  </cols>
  <sheetData>
    <row r="1" spans="1:14" ht="50.1" customHeight="1" thickBot="1" x14ac:dyDescent="0.25">
      <c r="A1" s="958" t="s">
        <v>999</v>
      </c>
      <c r="B1" s="959"/>
      <c r="C1" s="959"/>
      <c r="D1" s="959"/>
      <c r="E1" s="959"/>
      <c r="F1" s="960"/>
      <c r="G1" s="153"/>
      <c r="H1" s="24"/>
    </row>
    <row r="2" spans="1:14" ht="36.75" customHeight="1" x14ac:dyDescent="0.2">
      <c r="A2" s="901" t="s">
        <v>1321</v>
      </c>
      <c r="B2" s="961"/>
      <c r="C2" s="962" t="s">
        <v>834</v>
      </c>
      <c r="D2" s="962"/>
      <c r="E2" s="962"/>
      <c r="F2" s="963"/>
      <c r="G2" s="154"/>
    </row>
    <row r="3" spans="1:14" ht="33" customHeight="1" x14ac:dyDescent="0.2">
      <c r="A3" s="964" t="s">
        <v>208</v>
      </c>
      <c r="B3" s="966" t="s">
        <v>335</v>
      </c>
      <c r="C3" s="968">
        <v>2015</v>
      </c>
      <c r="D3" s="969"/>
      <c r="E3" s="970">
        <v>2016</v>
      </c>
      <c r="F3" s="971"/>
      <c r="G3" s="154"/>
    </row>
    <row r="4" spans="1:14" ht="69" customHeight="1" x14ac:dyDescent="0.2">
      <c r="A4" s="965"/>
      <c r="B4" s="967"/>
      <c r="C4" s="430" t="s">
        <v>752</v>
      </c>
      <c r="D4" s="430" t="s">
        <v>191</v>
      </c>
      <c r="E4" s="430" t="s">
        <v>752</v>
      </c>
      <c r="F4" s="433" t="s">
        <v>278</v>
      </c>
      <c r="G4" s="154"/>
    </row>
    <row r="5" spans="1:14" x14ac:dyDescent="0.2">
      <c r="A5" s="111"/>
      <c r="B5" s="79"/>
      <c r="C5" s="37" t="s">
        <v>289</v>
      </c>
      <c r="D5" s="37" t="s">
        <v>290</v>
      </c>
      <c r="E5" s="76" t="s">
        <v>291</v>
      </c>
      <c r="F5" s="86" t="s">
        <v>298</v>
      </c>
      <c r="G5" s="154"/>
    </row>
    <row r="6" spans="1:14" ht="38.25" customHeight="1" x14ac:dyDescent="0.2">
      <c r="A6" s="31">
        <v>1</v>
      </c>
      <c r="B6" s="80" t="s">
        <v>73</v>
      </c>
      <c r="C6" s="450">
        <v>1625550</v>
      </c>
      <c r="D6" s="451" t="s">
        <v>320</v>
      </c>
      <c r="E6" s="450">
        <v>1391680</v>
      </c>
      <c r="F6" s="452" t="s">
        <v>320</v>
      </c>
      <c r="G6" s="154"/>
      <c r="H6" s="107"/>
      <c r="I6" s="107"/>
      <c r="J6" s="849"/>
      <c r="K6" s="815"/>
      <c r="L6" s="815"/>
      <c r="M6" s="107"/>
      <c r="N6" s="107"/>
    </row>
    <row r="7" spans="1:14" ht="38.25" customHeight="1" x14ac:dyDescent="0.2">
      <c r="A7" s="31">
        <f>A6+1</f>
        <v>2</v>
      </c>
      <c r="B7" s="80" t="s">
        <v>346</v>
      </c>
      <c r="C7" s="451" t="s">
        <v>320</v>
      </c>
      <c r="D7" s="70">
        <v>9698</v>
      </c>
      <c r="E7" s="451" t="s">
        <v>320</v>
      </c>
      <c r="F7" s="74">
        <v>8492</v>
      </c>
      <c r="G7" s="154"/>
      <c r="H7" s="107"/>
      <c r="I7" s="107"/>
      <c r="J7" s="107"/>
      <c r="K7" s="107"/>
      <c r="L7" s="107"/>
      <c r="M7" s="107"/>
      <c r="N7" s="107"/>
    </row>
    <row r="8" spans="1:14" ht="38.25" customHeight="1" x14ac:dyDescent="0.2">
      <c r="A8" s="31">
        <f>A7+1</f>
        <v>3</v>
      </c>
      <c r="B8" s="80" t="s">
        <v>786</v>
      </c>
      <c r="C8" s="451" t="s">
        <v>320</v>
      </c>
      <c r="D8" s="70">
        <v>1467</v>
      </c>
      <c r="E8" s="451" t="s">
        <v>320</v>
      </c>
      <c r="F8" s="74">
        <v>1252</v>
      </c>
      <c r="G8" s="154"/>
      <c r="H8" s="107"/>
      <c r="I8" s="107"/>
      <c r="J8" s="107"/>
      <c r="K8" s="107"/>
      <c r="L8" s="107"/>
      <c r="M8" s="107"/>
      <c r="N8" s="107"/>
    </row>
    <row r="9" spans="1:14" ht="35.25" customHeight="1" x14ac:dyDescent="0.2">
      <c r="A9" s="31">
        <f>A8+1</f>
        <v>4</v>
      </c>
      <c r="B9" s="60" t="s">
        <v>705</v>
      </c>
      <c r="C9" s="450">
        <v>252209.97</v>
      </c>
      <c r="D9" s="138" t="s">
        <v>320</v>
      </c>
      <c r="E9" s="453">
        <f>+C11</f>
        <v>189428.96999999997</v>
      </c>
      <c r="F9" s="452" t="s">
        <v>320</v>
      </c>
      <c r="G9" s="154"/>
      <c r="H9" s="107"/>
      <c r="I9" s="107"/>
      <c r="J9" s="107"/>
      <c r="K9" s="107"/>
      <c r="L9" s="107"/>
      <c r="M9" s="107"/>
      <c r="N9" s="107"/>
    </row>
    <row r="10" spans="1:14" ht="37.5" customHeight="1" x14ac:dyDescent="0.2">
      <c r="A10" s="31">
        <f>A9+1</f>
        <v>5</v>
      </c>
      <c r="B10" s="60" t="s">
        <v>781</v>
      </c>
      <c r="C10" s="450">
        <v>1562769</v>
      </c>
      <c r="D10" s="451" t="s">
        <v>320</v>
      </c>
      <c r="E10" s="454">
        <v>1605039</v>
      </c>
      <c r="F10" s="452" t="s">
        <v>320</v>
      </c>
      <c r="G10" s="154"/>
      <c r="H10" s="850"/>
      <c r="I10" s="107"/>
      <c r="J10" s="107"/>
      <c r="K10" s="107"/>
      <c r="L10" s="107"/>
      <c r="M10" s="107"/>
      <c r="N10" s="107"/>
    </row>
    <row r="11" spans="1:14" ht="33" customHeight="1" x14ac:dyDescent="0.2">
      <c r="A11" s="31">
        <v>6</v>
      </c>
      <c r="B11" s="60" t="s">
        <v>251</v>
      </c>
      <c r="C11" s="455">
        <f>+C9+C10-C6</f>
        <v>189428.96999999997</v>
      </c>
      <c r="D11" s="451" t="s">
        <v>320</v>
      </c>
      <c r="E11" s="453">
        <f>+E9+E10-E6</f>
        <v>402787.97</v>
      </c>
      <c r="F11" s="452" t="s">
        <v>320</v>
      </c>
      <c r="G11" s="154"/>
      <c r="H11" s="107"/>
      <c r="I11" s="107"/>
      <c r="J11" s="107"/>
      <c r="K11" s="107"/>
      <c r="L11" s="107"/>
      <c r="M11" s="107"/>
      <c r="N11" s="107"/>
    </row>
    <row r="12" spans="1:14" ht="36" customHeight="1" thickBot="1" x14ac:dyDescent="0.25">
      <c r="A12" s="32">
        <v>7</v>
      </c>
      <c r="B12" s="73" t="s">
        <v>252</v>
      </c>
      <c r="C12" s="456">
        <f>IF(C6=0,0,C6/D7)</f>
        <v>167.61703444009075</v>
      </c>
      <c r="D12" s="457" t="s">
        <v>320</v>
      </c>
      <c r="E12" s="456">
        <f>IF(E6=0,0,E6/F7)</f>
        <v>163.88130004710317</v>
      </c>
      <c r="F12" s="458" t="s">
        <v>320</v>
      </c>
      <c r="G12" s="154"/>
    </row>
    <row r="13" spans="1:14" x14ac:dyDescent="0.2">
      <c r="B13" s="21"/>
      <c r="G13" s="154"/>
    </row>
    <row r="14" spans="1:14" x14ac:dyDescent="0.2">
      <c r="A14" s="952" t="s">
        <v>82</v>
      </c>
      <c r="B14" s="953"/>
      <c r="C14" s="953"/>
      <c r="D14" s="953"/>
      <c r="E14" s="953"/>
      <c r="F14" s="954"/>
      <c r="G14" s="154"/>
    </row>
    <row r="15" spans="1:14" x14ac:dyDescent="0.2">
      <c r="A15" s="955" t="s">
        <v>385</v>
      </c>
      <c r="B15" s="956"/>
      <c r="C15" s="956"/>
      <c r="D15" s="956"/>
      <c r="E15" s="956"/>
      <c r="F15" s="957"/>
      <c r="G15" s="154"/>
    </row>
  </sheetData>
  <mergeCells count="9">
    <mergeCell ref="A14:F14"/>
    <mergeCell ref="A15:F15"/>
    <mergeCell ref="A1:F1"/>
    <mergeCell ref="A2:B2"/>
    <mergeCell ref="C2:F2"/>
    <mergeCell ref="A3:A4"/>
    <mergeCell ref="B3:B4"/>
    <mergeCell ref="C3:D3"/>
    <mergeCell ref="E3:F3"/>
  </mergeCells>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4"/>
  <sheetViews>
    <sheetView zoomScale="90" zoomScaleNormal="90" workbookViewId="0">
      <pane xSplit="2" ySplit="5" topLeftCell="E6" activePane="bottomRight" state="frozen"/>
      <selection pane="topRight" activeCell="C1" sqref="C1"/>
      <selection pane="bottomLeft" activeCell="A6" sqref="A6"/>
      <selection pane="bottomRight" activeCell="F24" sqref="F24"/>
    </sheetView>
  </sheetViews>
  <sheetFormatPr defaultColWidth="9.140625" defaultRowHeight="12.75" x14ac:dyDescent="0.2"/>
  <cols>
    <col min="1" max="1" width="8.28515625" style="78" customWidth="1"/>
    <col min="2" max="2" width="77.7109375" style="78" customWidth="1"/>
    <col min="3" max="3" width="14.7109375" style="78" customWidth="1"/>
    <col min="4" max="4" width="14.85546875" style="78" bestFit="1" customWidth="1"/>
    <col min="5" max="6" width="14.7109375" style="78" customWidth="1"/>
    <col min="7" max="16384" width="9.140625" style="78"/>
  </cols>
  <sheetData>
    <row r="1" spans="1:8" ht="50.1" customHeight="1" x14ac:dyDescent="0.2">
      <c r="A1" s="975" t="s">
        <v>1000</v>
      </c>
      <c r="B1" s="976"/>
      <c r="C1" s="976"/>
      <c r="D1" s="976"/>
      <c r="E1" s="976"/>
      <c r="F1" s="977"/>
      <c r="H1" s="104"/>
    </row>
    <row r="2" spans="1:8" ht="33" customHeight="1" x14ac:dyDescent="0.2">
      <c r="A2" s="980" t="s">
        <v>1323</v>
      </c>
      <c r="B2" s="981"/>
      <c r="C2" s="981"/>
      <c r="D2" s="981"/>
      <c r="E2" s="981"/>
      <c r="F2" s="982"/>
    </row>
    <row r="3" spans="1:8" ht="18.75" customHeight="1" x14ac:dyDescent="0.2">
      <c r="A3" s="964" t="s">
        <v>208</v>
      </c>
      <c r="B3" s="922" t="s">
        <v>335</v>
      </c>
      <c r="C3" s="918" t="s">
        <v>791</v>
      </c>
      <c r="D3" s="918"/>
      <c r="E3" s="918" t="s">
        <v>358</v>
      </c>
      <c r="F3" s="979"/>
    </row>
    <row r="4" spans="1:8" ht="18.75" customHeight="1" x14ac:dyDescent="0.2">
      <c r="A4" s="978"/>
      <c r="B4" s="922"/>
      <c r="C4" s="85">
        <v>2015</v>
      </c>
      <c r="D4" s="85">
        <v>2016</v>
      </c>
      <c r="E4" s="14">
        <v>2015</v>
      </c>
      <c r="F4" s="29">
        <v>2016</v>
      </c>
    </row>
    <row r="5" spans="1:8" ht="15.75" x14ac:dyDescent="0.2">
      <c r="A5" s="31"/>
      <c r="B5" s="75"/>
      <c r="C5" s="25" t="s">
        <v>289</v>
      </c>
      <c r="D5" s="25" t="s">
        <v>290</v>
      </c>
      <c r="E5" s="37" t="s">
        <v>291</v>
      </c>
      <c r="F5" s="77" t="s">
        <v>298</v>
      </c>
    </row>
    <row r="6" spans="1:8" ht="31.5" x14ac:dyDescent="0.2">
      <c r="A6" s="31">
        <v>1</v>
      </c>
      <c r="B6" s="46" t="s">
        <v>712</v>
      </c>
      <c r="C6" s="620" t="s">
        <v>320</v>
      </c>
      <c r="D6" s="620" t="s">
        <v>320</v>
      </c>
      <c r="E6" s="133">
        <v>8220</v>
      </c>
      <c r="F6" s="135">
        <v>8220</v>
      </c>
      <c r="G6" s="678"/>
    </row>
    <row r="7" spans="1:8" ht="37.5" x14ac:dyDescent="0.2">
      <c r="A7" s="31">
        <f>A6+1</f>
        <v>2</v>
      </c>
      <c r="B7" s="56" t="s">
        <v>347</v>
      </c>
      <c r="C7" s="620" t="s">
        <v>320</v>
      </c>
      <c r="D7" s="620" t="s">
        <v>320</v>
      </c>
      <c r="E7" s="133">
        <v>65997</v>
      </c>
      <c r="F7" s="135">
        <v>66153</v>
      </c>
    </row>
    <row r="8" spans="1:8" ht="15.75" x14ac:dyDescent="0.2">
      <c r="A8" s="31">
        <v>3</v>
      </c>
      <c r="B8" s="72" t="s">
        <v>276</v>
      </c>
      <c r="C8" s="620" t="s">
        <v>320</v>
      </c>
      <c r="D8" s="620" t="s">
        <v>320</v>
      </c>
      <c r="E8" s="439">
        <f>E7/12</f>
        <v>5499.75</v>
      </c>
      <c r="F8" s="441">
        <f>F7/12</f>
        <v>5512.75</v>
      </c>
    </row>
    <row r="9" spans="1:8" ht="31.5" x14ac:dyDescent="0.2">
      <c r="A9" s="31">
        <f t="shared" ref="A9:A18" si="0">A8+1</f>
        <v>4</v>
      </c>
      <c r="B9" s="56" t="s">
        <v>361</v>
      </c>
      <c r="C9" s="443">
        <v>4059971.89</v>
      </c>
      <c r="D9" s="518">
        <v>4020739.46</v>
      </c>
      <c r="E9" s="620" t="s">
        <v>320</v>
      </c>
      <c r="F9" s="621" t="s">
        <v>320</v>
      </c>
    </row>
    <row r="10" spans="1:8" ht="31.5" x14ac:dyDescent="0.2">
      <c r="A10" s="31">
        <f t="shared" si="0"/>
        <v>5</v>
      </c>
      <c r="B10" s="56" t="s">
        <v>378</v>
      </c>
      <c r="C10" s="443">
        <v>56631.1</v>
      </c>
      <c r="D10" s="443">
        <v>55101.82</v>
      </c>
      <c r="E10" s="443">
        <v>5496.67</v>
      </c>
      <c r="F10" s="622">
        <v>5512.75</v>
      </c>
    </row>
    <row r="11" spans="1:8" ht="31.5" x14ac:dyDescent="0.2">
      <c r="A11" s="31">
        <f t="shared" si="0"/>
        <v>6</v>
      </c>
      <c r="B11" s="56" t="s">
        <v>1065</v>
      </c>
      <c r="C11" s="561">
        <v>2570212</v>
      </c>
      <c r="D11" s="561">
        <v>2707104</v>
      </c>
      <c r="E11" s="620" t="s">
        <v>320</v>
      </c>
      <c r="F11" s="621" t="s">
        <v>320</v>
      </c>
      <c r="G11" s="678"/>
    </row>
    <row r="12" spans="1:8" ht="15.75" x14ac:dyDescent="0.2">
      <c r="A12" s="31">
        <f t="shared" si="0"/>
        <v>7</v>
      </c>
      <c r="B12" s="56" t="s">
        <v>359</v>
      </c>
      <c r="C12" s="443">
        <v>462621.15</v>
      </c>
      <c r="D12" s="443">
        <v>-12512.48</v>
      </c>
      <c r="E12" s="620" t="s">
        <v>320</v>
      </c>
      <c r="F12" s="621" t="s">
        <v>320</v>
      </c>
    </row>
    <row r="13" spans="1:8" ht="15.75" x14ac:dyDescent="0.2">
      <c r="A13" s="31">
        <f t="shared" si="0"/>
        <v>8</v>
      </c>
      <c r="B13" s="56" t="s">
        <v>379</v>
      </c>
      <c r="C13" s="439">
        <f>SUM(C9:C12)</f>
        <v>7149436.1400000006</v>
      </c>
      <c r="D13" s="439">
        <f>SUM(D9:D12)</f>
        <v>6770432.7999999989</v>
      </c>
      <c r="E13" s="620" t="s">
        <v>320</v>
      </c>
      <c r="F13" s="621" t="s">
        <v>320</v>
      </c>
    </row>
    <row r="14" spans="1:8" ht="15.75" x14ac:dyDescent="0.2">
      <c r="A14" s="31">
        <f t="shared" si="0"/>
        <v>9</v>
      </c>
      <c r="B14" s="56" t="s">
        <v>380</v>
      </c>
      <c r="C14" s="439">
        <v>1054763.3</v>
      </c>
      <c r="D14" s="439">
        <f>D15+D16</f>
        <v>6415681.370000001</v>
      </c>
      <c r="E14" s="620" t="s">
        <v>320</v>
      </c>
      <c r="F14" s="621" t="s">
        <v>320</v>
      </c>
    </row>
    <row r="15" spans="1:8" ht="15.75" x14ac:dyDescent="0.2">
      <c r="A15" s="31">
        <f t="shared" si="0"/>
        <v>10</v>
      </c>
      <c r="B15" s="47" t="s">
        <v>60</v>
      </c>
      <c r="C15" s="443">
        <v>2126582.4300000002</v>
      </c>
      <c r="D15" s="443">
        <v>2175506.2200000002</v>
      </c>
      <c r="E15" s="620" t="s">
        <v>320</v>
      </c>
      <c r="F15" s="621" t="s">
        <v>320</v>
      </c>
    </row>
    <row r="16" spans="1:8" ht="15.75" x14ac:dyDescent="0.2">
      <c r="A16" s="31">
        <f t="shared" si="0"/>
        <v>11</v>
      </c>
      <c r="B16" s="47" t="s">
        <v>61</v>
      </c>
      <c r="C16" s="443">
        <v>4625095.7300000004</v>
      </c>
      <c r="D16" s="443">
        <v>4240175.1500000004</v>
      </c>
      <c r="E16" s="620" t="s">
        <v>320</v>
      </c>
      <c r="F16" s="621" t="s">
        <v>320</v>
      </c>
    </row>
    <row r="17" spans="1:6" ht="31.5" x14ac:dyDescent="0.2">
      <c r="A17" s="31">
        <f t="shared" si="0"/>
        <v>12</v>
      </c>
      <c r="B17" s="56" t="s">
        <v>381</v>
      </c>
      <c r="C17" s="439">
        <f>+C13-C14</f>
        <v>6094672.8400000008</v>
      </c>
      <c r="D17" s="439">
        <f>+D13-D14</f>
        <v>354751.42999999784</v>
      </c>
      <c r="E17" s="620" t="s">
        <v>320</v>
      </c>
      <c r="F17" s="621" t="s">
        <v>320</v>
      </c>
    </row>
    <row r="18" spans="1:6" ht="16.5" thickBot="1" x14ac:dyDescent="0.25">
      <c r="A18" s="32">
        <f t="shared" si="0"/>
        <v>13</v>
      </c>
      <c r="B18" s="83" t="s">
        <v>382</v>
      </c>
      <c r="C18" s="397">
        <v>1228.32</v>
      </c>
      <c r="D18" s="397">
        <f>IF(F8=0,0,D14/F8)</f>
        <v>1163.7896458210514</v>
      </c>
      <c r="E18" s="623" t="s">
        <v>320</v>
      </c>
      <c r="F18" s="624" t="s">
        <v>320</v>
      </c>
    </row>
    <row r="20" spans="1:6" ht="15" x14ac:dyDescent="0.2">
      <c r="A20" s="952" t="s">
        <v>360</v>
      </c>
      <c r="B20" s="953"/>
      <c r="C20" s="953"/>
      <c r="D20" s="953"/>
      <c r="E20" s="953"/>
      <c r="F20" s="954"/>
    </row>
    <row r="21" spans="1:6" ht="35.25" customHeight="1" x14ac:dyDescent="0.2">
      <c r="A21" s="972" t="s">
        <v>87</v>
      </c>
      <c r="B21" s="973"/>
      <c r="C21" s="973"/>
      <c r="D21" s="973"/>
      <c r="E21" s="973"/>
      <c r="F21" s="974"/>
    </row>
    <row r="24" spans="1:6" x14ac:dyDescent="0.2">
      <c r="F24" s="678"/>
    </row>
  </sheetData>
  <mergeCells count="8">
    <mergeCell ref="A21:F21"/>
    <mergeCell ref="A1:F1"/>
    <mergeCell ref="A3:A4"/>
    <mergeCell ref="B3:B4"/>
    <mergeCell ref="C3:D3"/>
    <mergeCell ref="E3:F3"/>
    <mergeCell ref="A2:F2"/>
    <mergeCell ref="A20:F20"/>
  </mergeCells>
  <phoneticPr fontId="8" type="noConversion"/>
  <pageMargins left="0.66" right="0.45" top="0.98425196850393704" bottom="0.77" header="0.51181102362204722" footer="0.51181102362204722"/>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41"/>
  <sheetViews>
    <sheetView zoomScale="90" zoomScaleNormal="90" workbookViewId="0">
      <pane xSplit="2" ySplit="4" topLeftCell="J17" activePane="bottomRight" state="frozen"/>
      <selection pane="topRight" activeCell="C1" sqref="C1"/>
      <selection pane="bottomLeft" activeCell="A5" sqref="A5"/>
      <selection pane="bottomRight" activeCell="F34" sqref="F34:AC42"/>
    </sheetView>
  </sheetViews>
  <sheetFormatPr defaultColWidth="9.140625" defaultRowHeight="15.75" x14ac:dyDescent="0.25"/>
  <cols>
    <col min="1" max="1" width="8.140625" style="213" customWidth="1"/>
    <col min="2" max="2" width="94" style="235" customWidth="1"/>
    <col min="3" max="3" width="18.7109375" style="213" customWidth="1"/>
    <col min="4" max="4" width="18.5703125" style="213" customWidth="1"/>
    <col min="5" max="5" width="11.42578125" style="214" customWidth="1"/>
    <col min="6" max="6" width="11.28515625" style="213" bestFit="1" customWidth="1"/>
    <col min="7" max="7" width="24" style="213" bestFit="1" customWidth="1"/>
    <col min="8" max="16384" width="9.140625" style="213"/>
  </cols>
  <sheetData>
    <row r="1" spans="1:11" ht="50.1" customHeight="1" thickBot="1" x14ac:dyDescent="0.3">
      <c r="A1" s="988" t="s">
        <v>1001</v>
      </c>
      <c r="B1" s="989"/>
      <c r="C1" s="989"/>
      <c r="D1" s="990"/>
      <c r="E1" s="212"/>
    </row>
    <row r="2" spans="1:11" ht="29.25" customHeight="1" x14ac:dyDescent="0.25">
      <c r="A2" s="991" t="s">
        <v>1323</v>
      </c>
      <c r="B2" s="992"/>
      <c r="C2" s="992"/>
      <c r="D2" s="993"/>
    </row>
    <row r="3" spans="1:11" ht="33" customHeight="1" x14ac:dyDescent="0.25">
      <c r="A3" s="215" t="s">
        <v>208</v>
      </c>
      <c r="B3" s="216" t="s">
        <v>335</v>
      </c>
      <c r="C3" s="217">
        <v>2015</v>
      </c>
      <c r="D3" s="218">
        <v>2016</v>
      </c>
    </row>
    <row r="4" spans="1:11" x14ac:dyDescent="0.25">
      <c r="A4" s="219"/>
      <c r="B4" s="220"/>
      <c r="C4" s="221" t="s">
        <v>289</v>
      </c>
      <c r="D4" s="246" t="s">
        <v>290</v>
      </c>
    </row>
    <row r="5" spans="1:11" ht="18.75" x14ac:dyDescent="0.25">
      <c r="A5" s="222">
        <v>1</v>
      </c>
      <c r="B5" s="223" t="s">
        <v>282</v>
      </c>
      <c r="C5" s="614">
        <f>+C6+C9</f>
        <v>1099854.52</v>
      </c>
      <c r="D5" s="615">
        <f>D6+D9</f>
        <v>1063718.1099999999</v>
      </c>
    </row>
    <row r="6" spans="1:11" ht="18.75" customHeight="1" x14ac:dyDescent="0.25">
      <c r="A6" s="222">
        <f t="shared" ref="A6:A13" si="0">A5+1</f>
        <v>2</v>
      </c>
      <c r="B6" s="223" t="s">
        <v>365</v>
      </c>
      <c r="C6" s="614">
        <f>+C7+C8</f>
        <v>644944.52</v>
      </c>
      <c r="D6" s="615">
        <f>+D7+D8</f>
        <v>633106.11</v>
      </c>
    </row>
    <row r="7" spans="1:11" x14ac:dyDescent="0.25">
      <c r="A7" s="222">
        <f t="shared" si="0"/>
        <v>3</v>
      </c>
      <c r="B7" s="224" t="s">
        <v>363</v>
      </c>
      <c r="C7" s="610">
        <v>644906.16</v>
      </c>
      <c r="D7" s="611">
        <v>632878.86</v>
      </c>
    </row>
    <row r="8" spans="1:11" x14ac:dyDescent="0.25">
      <c r="A8" s="222">
        <f t="shared" si="0"/>
        <v>4</v>
      </c>
      <c r="B8" s="224" t="s">
        <v>364</v>
      </c>
      <c r="C8" s="610">
        <v>38.36</v>
      </c>
      <c r="D8" s="611">
        <v>227.25</v>
      </c>
    </row>
    <row r="9" spans="1:11" x14ac:dyDescent="0.25">
      <c r="A9" s="222">
        <f t="shared" si="0"/>
        <v>5</v>
      </c>
      <c r="B9" s="223" t="s">
        <v>253</v>
      </c>
      <c r="C9" s="616">
        <f>+C10+C11-C12</f>
        <v>454910</v>
      </c>
      <c r="D9" s="617">
        <f>+D10+D11-D12</f>
        <v>430612</v>
      </c>
    </row>
    <row r="10" spans="1:11" ht="19.5" customHeight="1" x14ac:dyDescent="0.25">
      <c r="A10" s="222">
        <f t="shared" si="0"/>
        <v>6</v>
      </c>
      <c r="B10" s="224" t="s">
        <v>193</v>
      </c>
      <c r="C10" s="610">
        <v>42196.12</v>
      </c>
      <c r="D10" s="617">
        <f>+C12</f>
        <v>32672.119999999995</v>
      </c>
    </row>
    <row r="11" spans="1:11" x14ac:dyDescent="0.25">
      <c r="A11" s="222">
        <f t="shared" si="0"/>
        <v>7</v>
      </c>
      <c r="B11" s="224" t="s">
        <v>225</v>
      </c>
      <c r="C11" s="610">
        <v>445386</v>
      </c>
      <c r="D11" s="610">
        <v>488417</v>
      </c>
      <c r="E11" s="214" t="s">
        <v>1309</v>
      </c>
    </row>
    <row r="12" spans="1:11" x14ac:dyDescent="0.25">
      <c r="A12" s="222">
        <f t="shared" si="0"/>
        <v>8</v>
      </c>
      <c r="B12" s="224" t="s">
        <v>760</v>
      </c>
      <c r="C12" s="616">
        <f>C10+C11-C20</f>
        <v>32672.119999999995</v>
      </c>
      <c r="D12" s="617">
        <f>D10+D11-D20</f>
        <v>90477.119999999995</v>
      </c>
    </row>
    <row r="13" spans="1:11" ht="30" customHeight="1" x14ac:dyDescent="0.25">
      <c r="A13" s="222">
        <f t="shared" si="0"/>
        <v>9</v>
      </c>
      <c r="B13" s="223" t="s">
        <v>761</v>
      </c>
      <c r="C13" s="610">
        <v>1067676.8400000001</v>
      </c>
      <c r="D13" s="610">
        <v>1054702.8799999999</v>
      </c>
    </row>
    <row r="14" spans="1:11" x14ac:dyDescent="0.25">
      <c r="A14" s="222"/>
      <c r="B14" s="247" t="s">
        <v>306</v>
      </c>
      <c r="C14" s="612"/>
      <c r="D14" s="613"/>
      <c r="E14" s="225"/>
      <c r="F14" s="226"/>
      <c r="G14" s="226"/>
      <c r="H14" s="226"/>
      <c r="I14" s="226"/>
      <c r="J14" s="226"/>
      <c r="K14" s="226"/>
    </row>
    <row r="15" spans="1:11" ht="18.75" x14ac:dyDescent="0.25">
      <c r="A15" s="222">
        <f>A13+1</f>
        <v>10</v>
      </c>
      <c r="B15" s="248" t="s">
        <v>366</v>
      </c>
      <c r="C15" s="610">
        <v>1009293.2999999999</v>
      </c>
      <c r="D15" s="610">
        <v>1005021.16</v>
      </c>
    </row>
    <row r="16" spans="1:11" ht="30.75" customHeight="1" x14ac:dyDescent="0.25">
      <c r="A16" s="222">
        <f t="shared" ref="A16:A21" si="1">+A15+1</f>
        <v>11</v>
      </c>
      <c r="B16" s="223" t="s">
        <v>762</v>
      </c>
      <c r="C16" s="614">
        <f>C5-C13</f>
        <v>32177.679999999935</v>
      </c>
      <c r="D16" s="615">
        <f>D5-D13</f>
        <v>9015.2299999999814</v>
      </c>
    </row>
    <row r="17" spans="1:10" ht="18.75" x14ac:dyDescent="0.25">
      <c r="A17" s="222">
        <f t="shared" si="1"/>
        <v>12</v>
      </c>
      <c r="B17" s="223" t="s">
        <v>763</v>
      </c>
      <c r="C17" s="614">
        <f>C18+C19</f>
        <v>454910</v>
      </c>
      <c r="D17" s="615">
        <f>D18+D19</f>
        <v>430612</v>
      </c>
      <c r="E17" s="983"/>
      <c r="F17" s="984"/>
      <c r="G17" s="984"/>
      <c r="H17" s="984"/>
      <c r="I17" s="984"/>
    </row>
    <row r="18" spans="1:10" x14ac:dyDescent="0.25">
      <c r="A18" s="258">
        <f t="shared" si="1"/>
        <v>13</v>
      </c>
      <c r="B18" s="227" t="s">
        <v>918</v>
      </c>
      <c r="C18" s="759">
        <v>396465</v>
      </c>
      <c r="D18" s="760">
        <v>380812</v>
      </c>
    </row>
    <row r="19" spans="1:10" ht="18.75" x14ac:dyDescent="0.25">
      <c r="A19" s="258">
        <f>+A18+1</f>
        <v>14</v>
      </c>
      <c r="B19" s="227" t="s">
        <v>764</v>
      </c>
      <c r="C19" s="759">
        <v>58445</v>
      </c>
      <c r="D19" s="760">
        <v>49800</v>
      </c>
    </row>
    <row r="20" spans="1:10" x14ac:dyDescent="0.25">
      <c r="A20" s="258">
        <f>+A19+1</f>
        <v>15</v>
      </c>
      <c r="B20" s="223" t="s">
        <v>776</v>
      </c>
      <c r="C20" s="614">
        <f>(C18*1+C19*1)</f>
        <v>454910</v>
      </c>
      <c r="D20" s="615">
        <f>(D18*1+D19*1)</f>
        <v>430612</v>
      </c>
    </row>
    <row r="21" spans="1:10" ht="16.5" thickBot="1" x14ac:dyDescent="0.3">
      <c r="A21" s="259">
        <f t="shared" si="1"/>
        <v>16</v>
      </c>
      <c r="B21" s="228" t="s">
        <v>790</v>
      </c>
      <c r="C21" s="618">
        <f>IF(C18=0,0,C15/C18)</f>
        <v>2.5457311490295487</v>
      </c>
      <c r="D21" s="619">
        <f>IF(D18=0,0,D15/D18)</f>
        <v>2.6391530729073667</v>
      </c>
    </row>
    <row r="22" spans="1:10" s="226" customFormat="1" x14ac:dyDescent="0.25">
      <c r="A22" s="229"/>
      <c r="B22" s="230"/>
      <c r="C22" s="231"/>
      <c r="D22" s="231"/>
      <c r="E22" s="225"/>
    </row>
    <row r="23" spans="1:10" s="233" customFormat="1" x14ac:dyDescent="0.25">
      <c r="A23" s="994" t="s">
        <v>362</v>
      </c>
      <c r="B23" s="995"/>
      <c r="C23" s="995"/>
      <c r="D23" s="996"/>
      <c r="E23" s="232"/>
    </row>
    <row r="24" spans="1:10" s="233" customFormat="1" x14ac:dyDescent="0.25">
      <c r="A24" s="997" t="s">
        <v>697</v>
      </c>
      <c r="B24" s="998"/>
      <c r="C24" s="998"/>
      <c r="D24" s="999"/>
      <c r="E24" s="232"/>
    </row>
    <row r="25" spans="1:10" s="233" customFormat="1" x14ac:dyDescent="0.25">
      <c r="A25" s="1000" t="s">
        <v>917</v>
      </c>
      <c r="B25" s="1001"/>
      <c r="C25" s="1001"/>
      <c r="D25" s="1002"/>
      <c r="E25" s="232"/>
    </row>
    <row r="26" spans="1:10" s="233" customFormat="1" x14ac:dyDescent="0.25">
      <c r="A26" s="985" t="s">
        <v>703</v>
      </c>
      <c r="B26" s="986"/>
      <c r="C26" s="986"/>
      <c r="D26" s="987"/>
      <c r="E26" s="232"/>
    </row>
    <row r="27" spans="1:10" s="233" customFormat="1" x14ac:dyDescent="0.25">
      <c r="B27" s="234"/>
      <c r="E27" s="232"/>
    </row>
    <row r="31" spans="1:10" s="685" customFormat="1" x14ac:dyDescent="0.25">
      <c r="A31" s="694" t="s">
        <v>1310</v>
      </c>
      <c r="B31" s="695"/>
      <c r="C31" s="696" t="s">
        <v>1311</v>
      </c>
      <c r="D31" s="697" t="s">
        <v>1312</v>
      </c>
      <c r="E31" s="698" t="s">
        <v>1313</v>
      </c>
      <c r="F31" s="699"/>
      <c r="G31" s="699"/>
      <c r="H31" s="699"/>
      <c r="I31" s="699"/>
      <c r="J31" s="699"/>
    </row>
    <row r="32" spans="1:10" s="685" customFormat="1" x14ac:dyDescent="0.25">
      <c r="A32" s="695" t="s">
        <v>1314</v>
      </c>
      <c r="B32" s="700"/>
      <c r="C32" s="701">
        <v>340415</v>
      </c>
      <c r="D32" s="701">
        <v>40397</v>
      </c>
      <c r="E32" s="701">
        <v>380812</v>
      </c>
      <c r="F32" s="699"/>
      <c r="G32" s="699"/>
      <c r="H32" s="699"/>
      <c r="I32" s="699"/>
      <c r="J32" s="699"/>
    </row>
    <row r="33" spans="1:13" s="459" customFormat="1" x14ac:dyDescent="0.25">
      <c r="A33" s="695" t="s">
        <v>1315</v>
      </c>
      <c r="B33" s="700"/>
      <c r="C33" s="701">
        <v>49800</v>
      </c>
      <c r="D33" s="702">
        <v>0</v>
      </c>
      <c r="E33" s="701">
        <v>49800</v>
      </c>
      <c r="F33" s="703"/>
      <c r="G33" s="703"/>
      <c r="H33" s="703"/>
      <c r="I33" s="703"/>
      <c r="J33" s="703"/>
      <c r="K33" s="703"/>
      <c r="L33" s="703"/>
      <c r="M33" s="703"/>
    </row>
    <row r="34" spans="1:13" s="459" customFormat="1" x14ac:dyDescent="0.25">
      <c r="A34" s="694" t="s">
        <v>1316</v>
      </c>
      <c r="B34" s="704"/>
      <c r="C34" s="705">
        <v>390215</v>
      </c>
      <c r="D34" s="705">
        <v>40397</v>
      </c>
      <c r="E34" s="706">
        <v>430612</v>
      </c>
      <c r="F34" s="707"/>
      <c r="G34" s="703"/>
      <c r="H34" s="703"/>
      <c r="I34" s="703"/>
      <c r="J34" s="703"/>
      <c r="K34" s="703"/>
      <c r="L34" s="703"/>
      <c r="M34" s="703"/>
    </row>
    <row r="35" spans="1:13" s="459" customFormat="1" x14ac:dyDescent="0.25">
      <c r="A35" s="700" t="s">
        <v>1317</v>
      </c>
      <c r="B35" s="695"/>
      <c r="C35" s="701">
        <v>10069</v>
      </c>
      <c r="D35" s="716">
        <v>302</v>
      </c>
      <c r="E35" s="701">
        <v>10371</v>
      </c>
      <c r="F35" s="703"/>
      <c r="G35" s="703"/>
      <c r="H35" s="703"/>
      <c r="I35" s="703"/>
      <c r="J35" s="703"/>
      <c r="K35" s="703"/>
      <c r="L35" s="703"/>
      <c r="M35" s="703"/>
    </row>
    <row r="36" spans="1:13" s="459" customFormat="1" ht="18.75" x14ac:dyDescent="0.3">
      <c r="A36" s="708" t="s">
        <v>1318</v>
      </c>
      <c r="B36" s="709"/>
      <c r="C36" s="710">
        <v>400284</v>
      </c>
      <c r="D36" s="710">
        <v>40699</v>
      </c>
      <c r="E36" s="711">
        <v>440983</v>
      </c>
      <c r="F36" s="714"/>
      <c r="G36" s="717"/>
      <c r="H36" s="718"/>
      <c r="I36" s="718"/>
      <c r="J36" s="719"/>
      <c r="K36" s="719"/>
      <c r="L36" s="712"/>
      <c r="M36" s="712"/>
    </row>
    <row r="37" spans="1:13" ht="18.75" x14ac:dyDescent="0.3">
      <c r="A37" s="693"/>
      <c r="B37" s="693"/>
      <c r="C37" s="693"/>
      <c r="D37" s="693"/>
      <c r="E37" s="693"/>
      <c r="F37" s="715"/>
      <c r="G37" s="717"/>
      <c r="H37" s="718"/>
      <c r="I37" s="718"/>
      <c r="J37" s="719"/>
      <c r="K37" s="719"/>
      <c r="L37" s="713"/>
      <c r="M37" s="713"/>
    </row>
    <row r="38" spans="1:13" ht="18.75" x14ac:dyDescent="0.3">
      <c r="A38" s="693"/>
      <c r="B38" s="693"/>
      <c r="C38" s="693"/>
      <c r="D38" s="693"/>
      <c r="E38" s="693"/>
      <c r="F38" s="715"/>
      <c r="G38" s="717"/>
      <c r="H38" s="718"/>
      <c r="I38" s="718"/>
      <c r="J38" s="719"/>
      <c r="K38" s="719"/>
      <c r="L38" s="713"/>
      <c r="M38" s="713"/>
    </row>
    <row r="39" spans="1:13" x14ac:dyDescent="0.25">
      <c r="E39" s="686"/>
      <c r="G39" s="720"/>
      <c r="H39" s="721"/>
      <c r="I39" s="722"/>
      <c r="J39" s="722"/>
      <c r="K39" s="722"/>
    </row>
    <row r="40" spans="1:13" x14ac:dyDescent="0.25">
      <c r="A40" s="693"/>
      <c r="B40" s="693"/>
      <c r="C40" s="693"/>
      <c r="D40" s="693"/>
      <c r="E40" s="693"/>
      <c r="F40" s="693"/>
      <c r="G40" s="723"/>
      <c r="H40" s="724"/>
      <c r="I40" s="724"/>
      <c r="J40" s="724"/>
      <c r="K40" s="724"/>
      <c r="L40" s="693"/>
      <c r="M40" s="693"/>
    </row>
    <row r="41" spans="1:13" x14ac:dyDescent="0.25">
      <c r="A41" s="693"/>
      <c r="B41" s="693"/>
      <c r="C41" s="693"/>
      <c r="D41" s="693"/>
      <c r="E41" s="693"/>
      <c r="F41" s="693"/>
      <c r="G41" s="725"/>
      <c r="H41" s="724"/>
      <c r="I41" s="724"/>
      <c r="J41" s="724"/>
      <c r="K41" s="724"/>
      <c r="L41" s="693"/>
      <c r="M41" s="693"/>
    </row>
  </sheetData>
  <mergeCells count="7">
    <mergeCell ref="E17:I17"/>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zoomScaleNormal="100" workbookViewId="0">
      <pane xSplit="2" ySplit="5" topLeftCell="D6" activePane="bottomRight" state="frozen"/>
      <selection pane="topRight" activeCell="C1" sqref="C1"/>
      <selection pane="bottomLeft" activeCell="A6" sqref="A6"/>
      <selection pane="bottomRight" activeCell="E7" sqref="E7:I19"/>
    </sheetView>
  </sheetViews>
  <sheetFormatPr defaultColWidth="9.140625" defaultRowHeight="15.75" x14ac:dyDescent="0.25"/>
  <cols>
    <col min="1" max="1" width="9.140625" style="2"/>
    <col min="2" max="2" width="88.7109375" style="8" customWidth="1"/>
    <col min="3" max="3" width="23.42578125" style="2" customWidth="1"/>
    <col min="4" max="4" width="24.42578125" style="2" customWidth="1"/>
    <col min="5" max="5" width="15.28515625" style="178" bestFit="1" customWidth="1"/>
    <col min="6" max="6" width="11.28515625" style="178" bestFit="1" customWidth="1"/>
    <col min="7" max="7" width="9.140625" style="2"/>
    <col min="8" max="8" width="13.5703125" style="2" bestFit="1" customWidth="1"/>
    <col min="9" max="9" width="10.42578125" style="2" bestFit="1" customWidth="1"/>
    <col min="10" max="16384" width="9.140625" style="2"/>
  </cols>
  <sheetData>
    <row r="1" spans="1:9" ht="50.1" customHeight="1" thickBot="1" x14ac:dyDescent="0.3">
      <c r="A1" s="1004" t="s">
        <v>1002</v>
      </c>
      <c r="B1" s="1005"/>
      <c r="C1" s="1005"/>
      <c r="D1" s="1006"/>
    </row>
    <row r="2" spans="1:9" ht="27.75" customHeight="1" x14ac:dyDescent="0.25">
      <c r="A2" s="873" t="s">
        <v>1323</v>
      </c>
      <c r="B2" s="874"/>
      <c r="C2" s="874"/>
      <c r="D2" s="875"/>
    </row>
    <row r="3" spans="1:9" ht="18.75" customHeight="1" x14ac:dyDescent="0.25">
      <c r="A3" s="888" t="s">
        <v>208</v>
      </c>
      <c r="B3" s="1007" t="s">
        <v>335</v>
      </c>
      <c r="C3" s="1008" t="s">
        <v>310</v>
      </c>
      <c r="D3" s="1009"/>
    </row>
    <row r="4" spans="1:9" s="5" customFormat="1" ht="19.5" customHeight="1" x14ac:dyDescent="0.2">
      <c r="A4" s="888"/>
      <c r="B4" s="1007"/>
      <c r="C4" s="16">
        <v>2015</v>
      </c>
      <c r="D4" s="15">
        <v>2016</v>
      </c>
      <c r="E4" s="179"/>
      <c r="F4" s="179"/>
    </row>
    <row r="5" spans="1:9" s="5" customFormat="1" x14ac:dyDescent="0.2">
      <c r="A5" s="31"/>
      <c r="B5" s="28"/>
      <c r="C5" s="16" t="s">
        <v>289</v>
      </c>
      <c r="D5" s="15" t="s">
        <v>290</v>
      </c>
      <c r="E5" s="179"/>
      <c r="F5" s="179"/>
    </row>
    <row r="6" spans="1:9" s="5" customFormat="1" x14ac:dyDescent="0.2">
      <c r="A6" s="93">
        <v>1</v>
      </c>
      <c r="B6" s="52" t="s">
        <v>217</v>
      </c>
      <c r="C6" s="504">
        <v>21053468.050000001</v>
      </c>
      <c r="D6" s="503">
        <v>16432053.16</v>
      </c>
      <c r="E6" s="179"/>
      <c r="F6" s="179"/>
    </row>
    <row r="7" spans="1:9" s="5" customFormat="1" x14ac:dyDescent="0.2">
      <c r="A7" s="93">
        <f t="shared" ref="A7:A20" si="0">A6+1</f>
        <v>2</v>
      </c>
      <c r="B7" s="46" t="s">
        <v>166</v>
      </c>
      <c r="C7" s="505">
        <f>SUM(C8:C13)</f>
        <v>2845298.94</v>
      </c>
      <c r="D7" s="506">
        <f>SUM(D8:D13)</f>
        <v>3780082</v>
      </c>
      <c r="E7" s="179"/>
      <c r="F7" s="179"/>
      <c r="H7" s="538"/>
      <c r="I7" s="538"/>
    </row>
    <row r="8" spans="1:9" s="5" customFormat="1" ht="18.75" x14ac:dyDescent="0.2">
      <c r="A8" s="93">
        <f t="shared" si="0"/>
        <v>3</v>
      </c>
      <c r="B8" s="53" t="s">
        <v>388</v>
      </c>
      <c r="C8" s="502">
        <v>0</v>
      </c>
      <c r="D8" s="502">
        <v>0</v>
      </c>
      <c r="E8" s="179"/>
      <c r="F8" s="179"/>
      <c r="H8" s="179"/>
      <c r="I8" s="179"/>
    </row>
    <row r="9" spans="1:9" s="5" customFormat="1" x14ac:dyDescent="0.2">
      <c r="A9" s="93">
        <f t="shared" si="0"/>
        <v>4</v>
      </c>
      <c r="B9" s="53" t="s">
        <v>391</v>
      </c>
      <c r="C9" s="502">
        <v>2746308.71</v>
      </c>
      <c r="D9" s="502">
        <v>3377058.59</v>
      </c>
      <c r="E9" s="179"/>
      <c r="F9" s="179"/>
      <c r="H9" s="179"/>
      <c r="I9" s="179"/>
    </row>
    <row r="10" spans="1:9" s="5" customFormat="1" x14ac:dyDescent="0.2">
      <c r="A10" s="93">
        <f t="shared" si="0"/>
        <v>5</v>
      </c>
      <c r="B10" s="53" t="s">
        <v>1102</v>
      </c>
      <c r="C10" s="502">
        <v>106373.15</v>
      </c>
      <c r="D10" s="502">
        <v>403023.41</v>
      </c>
      <c r="E10" s="179"/>
      <c r="F10" s="179"/>
      <c r="H10" s="179"/>
      <c r="I10" s="179"/>
    </row>
    <row r="11" spans="1:9" s="5" customFormat="1" x14ac:dyDescent="0.2">
      <c r="A11" s="93">
        <f t="shared" si="0"/>
        <v>6</v>
      </c>
      <c r="B11" s="53" t="s">
        <v>389</v>
      </c>
      <c r="C11" s="502">
        <v>0</v>
      </c>
      <c r="D11" s="502">
        <v>0</v>
      </c>
      <c r="E11" s="179"/>
      <c r="F11" s="179"/>
      <c r="H11" s="179"/>
      <c r="I11" s="179"/>
    </row>
    <row r="12" spans="1:9" s="5" customFormat="1" x14ac:dyDescent="0.2">
      <c r="A12" s="93">
        <f t="shared" si="0"/>
        <v>7</v>
      </c>
      <c r="B12" s="53" t="s">
        <v>390</v>
      </c>
      <c r="C12" s="502">
        <v>-4107</v>
      </c>
      <c r="D12" s="502">
        <v>0</v>
      </c>
      <c r="E12" s="179"/>
      <c r="F12" s="179"/>
      <c r="H12" s="179"/>
      <c r="I12" s="179"/>
    </row>
    <row r="13" spans="1:9" s="5" customFormat="1" ht="19.5" customHeight="1" x14ac:dyDescent="0.2">
      <c r="A13" s="93">
        <f t="shared" si="0"/>
        <v>8</v>
      </c>
      <c r="B13" s="53" t="s">
        <v>392</v>
      </c>
      <c r="C13" s="502">
        <v>-3275.92</v>
      </c>
      <c r="D13" s="502">
        <v>0</v>
      </c>
      <c r="E13" s="179"/>
      <c r="F13" s="179"/>
      <c r="H13" s="179"/>
      <c r="I13" s="179"/>
    </row>
    <row r="14" spans="1:9" s="5" customFormat="1" ht="21.75" customHeight="1" x14ac:dyDescent="0.2">
      <c r="A14" s="93">
        <f t="shared" si="0"/>
        <v>9</v>
      </c>
      <c r="B14" s="46" t="s">
        <v>58</v>
      </c>
      <c r="C14" s="505">
        <f>C6+C7</f>
        <v>23898766.990000002</v>
      </c>
      <c r="D14" s="506">
        <f>D6+D7</f>
        <v>20212135.16</v>
      </c>
      <c r="E14" s="179"/>
      <c r="F14" s="179"/>
      <c r="H14" s="179"/>
      <c r="I14" s="179"/>
    </row>
    <row r="15" spans="1:9" s="5" customFormat="1" ht="40.5" customHeight="1" x14ac:dyDescent="0.2">
      <c r="A15" s="93">
        <f t="shared" si="0"/>
        <v>10</v>
      </c>
      <c r="B15" s="46" t="s">
        <v>266</v>
      </c>
      <c r="C15" s="503">
        <v>740000</v>
      </c>
      <c r="D15" s="503">
        <v>766500</v>
      </c>
      <c r="E15" s="179"/>
      <c r="F15" s="179"/>
      <c r="G15" s="510"/>
      <c r="H15" s="179"/>
      <c r="I15" s="539"/>
    </row>
    <row r="16" spans="1:9" s="5" customFormat="1" ht="31.5" x14ac:dyDescent="0.2">
      <c r="A16" s="120" t="s">
        <v>719</v>
      </c>
      <c r="B16" s="56" t="s">
        <v>807</v>
      </c>
      <c r="C16" s="503">
        <v>72206358.439999998</v>
      </c>
      <c r="D16" s="503">
        <v>1465001.43</v>
      </c>
      <c r="E16" s="179"/>
      <c r="F16" s="509"/>
      <c r="H16" s="179"/>
      <c r="I16" s="540"/>
    </row>
    <row r="17" spans="1:9" s="5" customFormat="1" ht="28.5" customHeight="1" x14ac:dyDescent="0.2">
      <c r="A17" s="93">
        <f>A15+1</f>
        <v>11</v>
      </c>
      <c r="B17" s="46" t="s">
        <v>808</v>
      </c>
      <c r="C17" s="503">
        <v>822820.42</v>
      </c>
      <c r="D17" s="503">
        <v>863008.33</v>
      </c>
      <c r="E17" s="179"/>
      <c r="F17" s="179"/>
      <c r="H17" s="541"/>
      <c r="I17" s="542"/>
    </row>
    <row r="18" spans="1:9" s="5" customFormat="1" ht="23.25" customHeight="1" x14ac:dyDescent="0.2">
      <c r="A18" s="93">
        <f t="shared" si="0"/>
        <v>12</v>
      </c>
      <c r="B18" s="46" t="s">
        <v>265</v>
      </c>
      <c r="C18" s="503">
        <v>0</v>
      </c>
      <c r="D18" s="503">
        <v>0</v>
      </c>
      <c r="E18" s="179"/>
      <c r="F18" s="179"/>
    </row>
    <row r="19" spans="1:9" s="5" customFormat="1" ht="33" customHeight="1" x14ac:dyDescent="0.2">
      <c r="A19" s="93">
        <f t="shared" si="0"/>
        <v>13</v>
      </c>
      <c r="B19" s="46" t="s">
        <v>809</v>
      </c>
      <c r="C19" s="503">
        <v>2074565.69</v>
      </c>
      <c r="D19" s="503">
        <f>'T12-KV'!E21+'T2-Ostatné dot mimo MŠ SR'!D61</f>
        <v>1211087.06</v>
      </c>
      <c r="E19" s="665"/>
      <c r="F19" s="683"/>
      <c r="G19" s="1003"/>
      <c r="H19" s="1003"/>
      <c r="I19" s="1003"/>
    </row>
    <row r="20" spans="1:9" s="5" customFormat="1" ht="21" customHeight="1" thickBot="1" x14ac:dyDescent="0.25">
      <c r="A20" s="94">
        <f t="shared" si="0"/>
        <v>14</v>
      </c>
      <c r="B20" s="48" t="s">
        <v>89</v>
      </c>
      <c r="C20" s="507">
        <f>SUM(C14:C19)</f>
        <v>99742511.540000007</v>
      </c>
      <c r="D20" s="508">
        <f>SUM(D14:D19)</f>
        <v>24517731.979999997</v>
      </c>
      <c r="E20" s="179"/>
      <c r="F20" s="539"/>
    </row>
    <row r="21" spans="1:9" ht="9" customHeight="1" x14ac:dyDescent="0.25"/>
    <row r="22" spans="1:9" ht="18" customHeight="1" x14ac:dyDescent="0.25">
      <c r="A22" s="952" t="s">
        <v>93</v>
      </c>
      <c r="B22" s="953"/>
      <c r="C22" s="953"/>
      <c r="D22" s="954"/>
    </row>
    <row r="23" spans="1:9" x14ac:dyDescent="0.25">
      <c r="A23" s="972" t="s">
        <v>18</v>
      </c>
      <c r="B23" s="973"/>
      <c r="C23" s="973"/>
      <c r="D23" s="974"/>
      <c r="E23" s="179"/>
      <c r="F23" s="179"/>
      <c r="G23" s="129"/>
      <c r="H23" s="129"/>
      <c r="I23" s="129"/>
    </row>
  </sheetData>
  <mergeCells count="8">
    <mergeCell ref="G19:I19"/>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N82"/>
  <sheetViews>
    <sheetView zoomScale="70" zoomScaleNormal="70" workbookViewId="0">
      <pane xSplit="2" ySplit="5" topLeftCell="E6" activePane="bottomRight" state="frozen"/>
      <selection pane="topRight" activeCell="C1" sqref="C1"/>
      <selection pane="bottomLeft" activeCell="A6" sqref="A6"/>
      <selection pane="bottomRight" activeCell="J21" sqref="J21"/>
    </sheetView>
  </sheetViews>
  <sheetFormatPr defaultColWidth="9.140625" defaultRowHeight="15.75" x14ac:dyDescent="0.25"/>
  <cols>
    <col min="1" max="1" width="7.42578125" style="2" customWidth="1"/>
    <col min="2" max="2" width="51.5703125" style="8" customWidth="1"/>
    <col min="3" max="3" width="17" style="8" customWidth="1"/>
    <col min="4" max="4" width="18.140625" style="2" customWidth="1"/>
    <col min="5" max="5" width="18.5703125" style="2" customWidth="1"/>
    <col min="6" max="6" width="16.28515625" style="2" customWidth="1"/>
    <col min="7" max="7" width="15.28515625" style="2" customWidth="1"/>
    <col min="8" max="8" width="15.7109375" style="2" customWidth="1"/>
    <col min="9" max="9" width="20.140625" style="2" customWidth="1"/>
    <col min="10" max="10" width="9.85546875" style="2" customWidth="1"/>
    <col min="11" max="11" width="10.5703125" style="2" bestFit="1" customWidth="1"/>
    <col min="12" max="16384" width="9.140625" style="2"/>
  </cols>
  <sheetData>
    <row r="1" spans="1:14" ht="35.1" customHeight="1" thickBot="1" x14ac:dyDescent="0.3">
      <c r="A1" s="1012" t="s">
        <v>1003</v>
      </c>
      <c r="B1" s="1013"/>
      <c r="C1" s="1013"/>
      <c r="D1" s="1013"/>
      <c r="E1" s="1013"/>
      <c r="F1" s="1013"/>
      <c r="G1" s="1013"/>
      <c r="H1" s="1013"/>
      <c r="I1" s="1014"/>
    </row>
    <row r="2" spans="1:14" ht="35.1" customHeight="1" x14ac:dyDescent="0.25">
      <c r="A2" s="901" t="s">
        <v>1323</v>
      </c>
      <c r="B2" s="902"/>
      <c r="C2" s="902"/>
      <c r="D2" s="902"/>
      <c r="E2" s="902"/>
      <c r="F2" s="902"/>
      <c r="G2" s="902"/>
      <c r="H2" s="902"/>
      <c r="I2" s="903"/>
    </row>
    <row r="3" spans="1:14" s="5" customFormat="1" ht="35.25" customHeight="1" x14ac:dyDescent="0.2">
      <c r="A3" s="965" t="s">
        <v>208</v>
      </c>
      <c r="B3" s="890" t="s">
        <v>335</v>
      </c>
      <c r="C3" s="1017" t="s">
        <v>1004</v>
      </c>
      <c r="D3" s="1017" t="s">
        <v>1005</v>
      </c>
      <c r="E3" s="890" t="s">
        <v>1006</v>
      </c>
      <c r="F3" s="890" t="s">
        <v>180</v>
      </c>
      <c r="G3" s="1015" t="s">
        <v>232</v>
      </c>
      <c r="H3" s="1015" t="s">
        <v>734</v>
      </c>
      <c r="I3" s="1010" t="s">
        <v>233</v>
      </c>
    </row>
    <row r="4" spans="1:14" s="5" customFormat="1" ht="72" customHeight="1" x14ac:dyDescent="0.2">
      <c r="A4" s="888"/>
      <c r="B4" s="922"/>
      <c r="C4" s="1018"/>
      <c r="D4" s="1018"/>
      <c r="E4" s="922"/>
      <c r="F4" s="922"/>
      <c r="G4" s="1016"/>
      <c r="H4" s="1016"/>
      <c r="I4" s="1011"/>
    </row>
    <row r="5" spans="1:14" s="5" customFormat="1" x14ac:dyDescent="0.2">
      <c r="A5" s="31"/>
      <c r="B5" s="79"/>
      <c r="C5" s="82" t="s">
        <v>289</v>
      </c>
      <c r="D5" s="82" t="s">
        <v>290</v>
      </c>
      <c r="E5" s="37" t="s">
        <v>291</v>
      </c>
      <c r="F5" s="37" t="s">
        <v>298</v>
      </c>
      <c r="G5" s="37" t="s">
        <v>292</v>
      </c>
      <c r="H5" s="37" t="s">
        <v>293</v>
      </c>
      <c r="I5" s="190" t="s">
        <v>720</v>
      </c>
    </row>
    <row r="6" spans="1:14" s="5" customFormat="1" x14ac:dyDescent="0.2">
      <c r="A6" s="31">
        <v>1</v>
      </c>
      <c r="B6" s="60" t="s">
        <v>384</v>
      </c>
      <c r="C6" s="443">
        <v>0</v>
      </c>
      <c r="D6" s="443">
        <v>101261.06</v>
      </c>
      <c r="E6" s="443">
        <v>13939.2</v>
      </c>
      <c r="F6" s="443">
        <v>7006.4</v>
      </c>
      <c r="G6" s="443">
        <v>0</v>
      </c>
      <c r="H6" s="443">
        <v>0</v>
      </c>
      <c r="I6" s="441">
        <f t="shared" ref="I6:I16" si="0">SUM(C6:H6)</f>
        <v>122206.65999999999</v>
      </c>
    </row>
    <row r="7" spans="1:14" s="5" customFormat="1" x14ac:dyDescent="0.2">
      <c r="A7" s="31"/>
      <c r="B7" s="61" t="s">
        <v>306</v>
      </c>
      <c r="C7" s="443">
        <v>0</v>
      </c>
      <c r="D7" s="443">
        <v>0</v>
      </c>
      <c r="E7" s="443">
        <v>0</v>
      </c>
      <c r="F7" s="443">
        <v>0</v>
      </c>
      <c r="G7" s="443">
        <v>0</v>
      </c>
      <c r="H7" s="443">
        <v>0</v>
      </c>
      <c r="I7" s="441"/>
    </row>
    <row r="8" spans="1:14" s="5" customFormat="1" x14ac:dyDescent="0.2">
      <c r="A8" s="31">
        <v>2</v>
      </c>
      <c r="B8" s="99" t="s">
        <v>1200</v>
      </c>
      <c r="C8" s="443">
        <v>0</v>
      </c>
      <c r="D8" s="443">
        <v>101261.06</v>
      </c>
      <c r="E8" s="443">
        <v>13939.2</v>
      </c>
      <c r="F8" s="443">
        <v>6476.4</v>
      </c>
      <c r="G8" s="443">
        <v>0</v>
      </c>
      <c r="H8" s="443">
        <v>0</v>
      </c>
      <c r="I8" s="441">
        <f t="shared" si="0"/>
        <v>121676.65999999999</v>
      </c>
    </row>
    <row r="9" spans="1:14" x14ac:dyDescent="0.25">
      <c r="A9" s="31">
        <v>3</v>
      </c>
      <c r="B9" s="60" t="s">
        <v>288</v>
      </c>
      <c r="C9" s="443">
        <v>0</v>
      </c>
      <c r="D9" s="443">
        <v>0</v>
      </c>
      <c r="E9" s="443">
        <v>0</v>
      </c>
      <c r="F9" s="443">
        <v>0</v>
      </c>
      <c r="G9" s="443">
        <v>0</v>
      </c>
      <c r="H9" s="443">
        <v>0</v>
      </c>
      <c r="I9" s="441">
        <f t="shared" si="0"/>
        <v>0</v>
      </c>
    </row>
    <row r="10" spans="1:14" ht="31.5" x14ac:dyDescent="0.25">
      <c r="A10" s="31">
        <v>4</v>
      </c>
      <c r="B10" s="60" t="s">
        <v>250</v>
      </c>
      <c r="C10" s="439">
        <f t="shared" ref="C10:H10" si="1">SUM(C11:C15)</f>
        <v>154218.13</v>
      </c>
      <c r="D10" s="439">
        <f t="shared" si="1"/>
        <v>1088960.3500000001</v>
      </c>
      <c r="E10" s="439">
        <f t="shared" si="1"/>
        <v>77401.39</v>
      </c>
      <c r="F10" s="439">
        <f t="shared" si="1"/>
        <v>3327989.14</v>
      </c>
      <c r="G10" s="439">
        <f t="shared" si="1"/>
        <v>0</v>
      </c>
      <c r="H10" s="439">
        <f t="shared" si="1"/>
        <v>0</v>
      </c>
      <c r="I10" s="441">
        <f t="shared" si="0"/>
        <v>4648569.01</v>
      </c>
      <c r="J10" s="513"/>
      <c r="K10" s="513"/>
    </row>
    <row r="11" spans="1:14" x14ac:dyDescent="0.25">
      <c r="A11" s="31">
        <v>5</v>
      </c>
      <c r="B11" s="99" t="s">
        <v>354</v>
      </c>
      <c r="C11" s="443">
        <v>0</v>
      </c>
      <c r="D11" s="443">
        <v>0</v>
      </c>
      <c r="E11" s="443">
        <v>502.6</v>
      </c>
      <c r="F11" s="443">
        <v>52215.48</v>
      </c>
      <c r="G11" s="443">
        <v>0</v>
      </c>
      <c r="H11" s="443">
        <v>0</v>
      </c>
      <c r="I11" s="441">
        <f t="shared" si="0"/>
        <v>52718.080000000002</v>
      </c>
    </row>
    <row r="12" spans="1:14" ht="31.5" x14ac:dyDescent="0.25">
      <c r="A12" s="31">
        <v>6</v>
      </c>
      <c r="B12" s="416" t="s">
        <v>1170</v>
      </c>
      <c r="C12" s="443"/>
      <c r="D12" s="443">
        <v>0</v>
      </c>
      <c r="E12" s="443">
        <v>16706.18</v>
      </c>
      <c r="F12" s="443">
        <v>150000</v>
      </c>
      <c r="G12" s="443">
        <v>0</v>
      </c>
      <c r="H12" s="443">
        <v>0</v>
      </c>
      <c r="I12" s="441">
        <f t="shared" si="0"/>
        <v>166706.18</v>
      </c>
      <c r="J12" s="205"/>
      <c r="K12" s="205"/>
      <c r="L12" s="550"/>
      <c r="M12" s="205"/>
      <c r="N12" s="205"/>
    </row>
    <row r="13" spans="1:14" x14ac:dyDescent="0.25">
      <c r="A13" s="31">
        <v>7</v>
      </c>
      <c r="B13" s="117" t="s">
        <v>355</v>
      </c>
      <c r="C13" s="443">
        <v>23380.799999999999</v>
      </c>
      <c r="D13" s="443">
        <v>118138.2</v>
      </c>
      <c r="E13" s="443">
        <v>12076.87</v>
      </c>
      <c r="F13" s="443">
        <v>163108.29</v>
      </c>
      <c r="G13" s="443">
        <v>0</v>
      </c>
      <c r="H13" s="443">
        <v>0</v>
      </c>
      <c r="I13" s="441">
        <f t="shared" si="0"/>
        <v>316704.16000000003</v>
      </c>
      <c r="J13" s="205"/>
      <c r="K13" s="205"/>
      <c r="L13" s="205"/>
      <c r="M13" s="205"/>
      <c r="N13" s="205"/>
    </row>
    <row r="14" spans="1:14" ht="31.5" x14ac:dyDescent="0.25">
      <c r="A14" s="31">
        <v>8</v>
      </c>
      <c r="B14" s="99" t="s">
        <v>356</v>
      </c>
      <c r="C14" s="443">
        <v>37536.33</v>
      </c>
      <c r="D14" s="443">
        <v>970822.15</v>
      </c>
      <c r="E14" s="443">
        <v>45915.74</v>
      </c>
      <c r="F14" s="443">
        <v>2960395.37</v>
      </c>
      <c r="G14" s="443">
        <v>0</v>
      </c>
      <c r="H14" s="443">
        <v>0</v>
      </c>
      <c r="I14" s="441">
        <f t="shared" si="0"/>
        <v>4014669.59</v>
      </c>
      <c r="J14" s="108"/>
    </row>
    <row r="15" spans="1:14" ht="31.5" x14ac:dyDescent="0.25">
      <c r="A15" s="43">
        <v>9</v>
      </c>
      <c r="B15" s="99" t="s">
        <v>357</v>
      </c>
      <c r="C15" s="443">
        <v>93301</v>
      </c>
      <c r="D15" s="443">
        <v>0</v>
      </c>
      <c r="E15" s="443">
        <v>2200</v>
      </c>
      <c r="F15" s="443">
        <v>2270</v>
      </c>
      <c r="G15" s="443">
        <v>0</v>
      </c>
      <c r="H15" s="443">
        <v>0</v>
      </c>
      <c r="I15" s="441">
        <f t="shared" si="0"/>
        <v>97771</v>
      </c>
    </row>
    <row r="16" spans="1:14" x14ac:dyDescent="0.25">
      <c r="A16" s="31">
        <v>10</v>
      </c>
      <c r="B16" s="55" t="s">
        <v>183</v>
      </c>
      <c r="C16" s="443">
        <v>0</v>
      </c>
      <c r="D16" s="443">
        <v>0</v>
      </c>
      <c r="E16" s="443">
        <v>60186.92</v>
      </c>
      <c r="F16" s="443">
        <v>0</v>
      </c>
      <c r="G16" s="443">
        <v>0</v>
      </c>
      <c r="H16" s="443">
        <v>0</v>
      </c>
      <c r="I16" s="441">
        <f t="shared" si="0"/>
        <v>60186.92</v>
      </c>
    </row>
    <row r="17" spans="1:9" x14ac:dyDescent="0.25">
      <c r="A17" s="31">
        <v>11</v>
      </c>
      <c r="B17" s="60" t="s">
        <v>184</v>
      </c>
      <c r="C17" s="443">
        <v>0</v>
      </c>
      <c r="D17" s="443">
        <v>0</v>
      </c>
      <c r="E17" s="443">
        <v>130197.8</v>
      </c>
      <c r="F17" s="443">
        <v>22057.759999999998</v>
      </c>
      <c r="G17" s="443">
        <v>0</v>
      </c>
      <c r="H17" s="443">
        <v>0</v>
      </c>
      <c r="I17" s="441">
        <f>SUM(C17:H17)</f>
        <v>152255.56</v>
      </c>
    </row>
    <row r="18" spans="1:9" x14ac:dyDescent="0.25">
      <c r="A18" s="31">
        <v>12</v>
      </c>
      <c r="B18" s="60" t="s">
        <v>303</v>
      </c>
      <c r="C18" s="443">
        <f>841224.38+90039.31</f>
        <v>931263.69</v>
      </c>
      <c r="D18" s="443">
        <v>173982.86</v>
      </c>
      <c r="E18" s="443">
        <f>786460.22+17643.25</f>
        <v>804103.47</v>
      </c>
      <c r="F18" s="443">
        <v>1805133.52</v>
      </c>
      <c r="G18" s="443">
        <v>0</v>
      </c>
      <c r="H18" s="443">
        <v>0</v>
      </c>
      <c r="I18" s="441">
        <f>SUM(C18:H18)</f>
        <v>3714483.54</v>
      </c>
    </row>
    <row r="19" spans="1:9" x14ac:dyDescent="0.25">
      <c r="A19" s="31">
        <v>13</v>
      </c>
      <c r="B19" s="60" t="s">
        <v>185</v>
      </c>
      <c r="C19" s="443">
        <v>50000</v>
      </c>
      <c r="D19" s="443">
        <v>0</v>
      </c>
      <c r="E19" s="443">
        <v>91216.1</v>
      </c>
      <c r="F19" s="443">
        <v>5045.8</v>
      </c>
      <c r="G19" s="443">
        <v>0</v>
      </c>
      <c r="H19" s="443">
        <v>0</v>
      </c>
      <c r="I19" s="441">
        <f>SUM(C19:H19)</f>
        <v>146261.9</v>
      </c>
    </row>
    <row r="20" spans="1:9" x14ac:dyDescent="0.25">
      <c r="A20" s="31">
        <v>14</v>
      </c>
      <c r="B20" s="60" t="s">
        <v>311</v>
      </c>
      <c r="C20" s="443">
        <v>81.73</v>
      </c>
      <c r="D20" s="443">
        <v>4336.9399999999996</v>
      </c>
      <c r="E20" s="443">
        <v>0</v>
      </c>
      <c r="F20" s="443">
        <v>97087.28</v>
      </c>
      <c r="G20" s="443">
        <v>0</v>
      </c>
      <c r="H20" s="443">
        <v>0</v>
      </c>
      <c r="I20" s="441">
        <f>SUM(C20:H20)</f>
        <v>101505.95</v>
      </c>
    </row>
    <row r="21" spans="1:9" ht="48" thickBot="1" x14ac:dyDescent="0.3">
      <c r="A21" s="32">
        <v>15</v>
      </c>
      <c r="B21" s="322" t="s">
        <v>59</v>
      </c>
      <c r="C21" s="511">
        <f t="shared" ref="C21:H21" si="2">+C6+C9+C10+C16+C17+C18+C19+C20</f>
        <v>1135563.5499999998</v>
      </c>
      <c r="D21" s="511">
        <f t="shared" si="2"/>
        <v>1368541.21</v>
      </c>
      <c r="E21" s="511">
        <f t="shared" si="2"/>
        <v>1177044.8800000001</v>
      </c>
      <c r="F21" s="511">
        <f t="shared" si="2"/>
        <v>5264319.9000000004</v>
      </c>
      <c r="G21" s="511">
        <f t="shared" si="2"/>
        <v>0</v>
      </c>
      <c r="H21" s="511">
        <f t="shared" si="2"/>
        <v>0</v>
      </c>
      <c r="I21" s="512">
        <f>SUM(C21:H21)</f>
        <v>8945469.5399999991</v>
      </c>
    </row>
    <row r="22" spans="1:9" s="318" customFormat="1" x14ac:dyDescent="0.25">
      <c r="B22" s="319" t="s">
        <v>919</v>
      </c>
      <c r="C22" s="320" t="s">
        <v>320</v>
      </c>
      <c r="D22" s="320" t="s">
        <v>320</v>
      </c>
      <c r="E22" s="320" t="s">
        <v>320</v>
      </c>
      <c r="F22" s="320" t="s">
        <v>320</v>
      </c>
      <c r="G22" s="320" t="s">
        <v>320</v>
      </c>
      <c r="H22" s="320" t="s">
        <v>320</v>
      </c>
      <c r="I22" s="321"/>
    </row>
    <row r="23" spans="1:9" x14ac:dyDescent="0.25">
      <c r="C23" s="177"/>
      <c r="D23" s="176"/>
      <c r="E23" s="176"/>
      <c r="F23" s="176"/>
      <c r="G23" s="176"/>
      <c r="H23" s="176"/>
    </row>
    <row r="24" spans="1:9" x14ac:dyDescent="0.25">
      <c r="C24" s="176"/>
      <c r="D24" s="176"/>
      <c r="E24" s="176"/>
      <c r="F24" s="176"/>
      <c r="G24" s="176"/>
      <c r="H24" s="176"/>
    </row>
    <row r="25" spans="1:9" x14ac:dyDescent="0.25">
      <c r="B25" s="8" t="s">
        <v>1169</v>
      </c>
      <c r="C25" s="176"/>
      <c r="D25" s="176"/>
      <c r="E25" s="176"/>
      <c r="F25" s="176"/>
      <c r="G25" s="176"/>
      <c r="H25" s="176"/>
    </row>
    <row r="26" spans="1:9" x14ac:dyDescent="0.25">
      <c r="C26" s="176"/>
      <c r="D26" s="176"/>
      <c r="E26" s="176"/>
      <c r="F26" s="176"/>
      <c r="G26" s="176"/>
      <c r="H26" s="176"/>
    </row>
    <row r="27" spans="1:9" x14ac:dyDescent="0.25">
      <c r="C27" s="176"/>
      <c r="D27" s="176"/>
      <c r="E27" s="176"/>
      <c r="F27" s="176"/>
      <c r="G27" s="176"/>
      <c r="H27" s="176"/>
    </row>
    <row r="28" spans="1:9" x14ac:dyDescent="0.25">
      <c r="C28" s="176"/>
      <c r="D28" s="176"/>
      <c r="E28" s="176"/>
      <c r="F28" s="176"/>
      <c r="G28" s="176"/>
      <c r="H28" s="176"/>
    </row>
    <row r="29" spans="1:9" x14ac:dyDescent="0.25">
      <c r="C29" s="176"/>
      <c r="D29" s="176"/>
      <c r="E29" s="176"/>
      <c r="F29" s="176"/>
      <c r="G29" s="176"/>
      <c r="H29" s="176"/>
    </row>
    <row r="30" spans="1:9" x14ac:dyDescent="0.25">
      <c r="C30" s="176"/>
      <c r="D30" s="176"/>
      <c r="E30" s="176"/>
      <c r="F30" s="176"/>
      <c r="G30" s="176"/>
      <c r="H30" s="176"/>
    </row>
    <row r="31" spans="1:9" x14ac:dyDescent="0.25">
      <c r="C31" s="176"/>
      <c r="D31" s="176"/>
      <c r="E31" s="176"/>
      <c r="F31" s="176"/>
      <c r="G31" s="176"/>
      <c r="H31" s="176"/>
    </row>
    <row r="32" spans="1:9" x14ac:dyDescent="0.25">
      <c r="C32" s="176"/>
      <c r="D32" s="176"/>
      <c r="E32" s="176"/>
      <c r="F32" s="176"/>
      <c r="G32" s="176"/>
      <c r="H32" s="176"/>
    </row>
    <row r="33" spans="3:8" x14ac:dyDescent="0.25">
      <c r="C33" s="176"/>
      <c r="D33" s="176"/>
      <c r="E33" s="176"/>
      <c r="F33" s="176"/>
      <c r="G33" s="176"/>
      <c r="H33" s="176"/>
    </row>
    <row r="34" spans="3:8" x14ac:dyDescent="0.25">
      <c r="C34" s="176"/>
      <c r="D34" s="176"/>
      <c r="E34" s="176"/>
      <c r="F34" s="176"/>
      <c r="G34" s="176"/>
      <c r="H34" s="176"/>
    </row>
    <row r="35" spans="3:8" x14ac:dyDescent="0.25">
      <c r="C35" s="176"/>
      <c r="D35" s="176"/>
      <c r="E35" s="176"/>
      <c r="F35" s="176"/>
      <c r="G35" s="176"/>
      <c r="H35" s="176"/>
    </row>
    <row r="36" spans="3:8" x14ac:dyDescent="0.25">
      <c r="C36" s="176"/>
      <c r="D36" s="176"/>
      <c r="E36" s="176"/>
      <c r="F36" s="176"/>
      <c r="G36" s="176"/>
      <c r="H36" s="176"/>
    </row>
    <row r="37" spans="3:8" x14ac:dyDescent="0.25">
      <c r="C37" s="176"/>
      <c r="D37" s="176"/>
      <c r="E37" s="176"/>
      <c r="F37" s="176"/>
      <c r="G37" s="176"/>
      <c r="H37" s="176"/>
    </row>
    <row r="38" spans="3:8" x14ac:dyDescent="0.25">
      <c r="C38" s="176"/>
      <c r="D38" s="176"/>
      <c r="E38" s="176"/>
      <c r="F38" s="176"/>
      <c r="G38" s="176"/>
      <c r="H38" s="176"/>
    </row>
    <row r="39" spans="3:8" x14ac:dyDescent="0.25">
      <c r="C39" s="176"/>
      <c r="D39" s="176"/>
      <c r="E39" s="176"/>
      <c r="F39" s="176"/>
      <c r="G39" s="176"/>
      <c r="H39" s="176"/>
    </row>
    <row r="40" spans="3:8" x14ac:dyDescent="0.25">
      <c r="C40" s="176"/>
      <c r="D40" s="176"/>
      <c r="E40" s="176"/>
      <c r="F40" s="176"/>
      <c r="G40" s="176"/>
      <c r="H40" s="176"/>
    </row>
    <row r="41" spans="3:8" x14ac:dyDescent="0.25">
      <c r="C41" s="176"/>
      <c r="D41" s="176"/>
      <c r="E41" s="176"/>
      <c r="F41" s="176"/>
      <c r="G41" s="176"/>
      <c r="H41" s="176"/>
    </row>
    <row r="42" spans="3:8" x14ac:dyDescent="0.25">
      <c r="C42" s="176"/>
      <c r="D42" s="176"/>
      <c r="E42" s="176"/>
      <c r="F42" s="176"/>
      <c r="G42" s="176"/>
      <c r="H42" s="176"/>
    </row>
    <row r="43" spans="3:8" x14ac:dyDescent="0.25">
      <c r="C43" s="176"/>
      <c r="D43" s="176"/>
      <c r="E43" s="176"/>
      <c r="F43" s="176"/>
      <c r="G43" s="176"/>
      <c r="H43" s="176"/>
    </row>
    <row r="44" spans="3:8" x14ac:dyDescent="0.25">
      <c r="C44" s="176"/>
      <c r="D44" s="176"/>
      <c r="E44" s="176"/>
      <c r="F44" s="176"/>
      <c r="G44" s="176"/>
      <c r="H44" s="176"/>
    </row>
    <row r="45" spans="3:8" x14ac:dyDescent="0.25">
      <c r="C45" s="176"/>
      <c r="D45" s="176"/>
      <c r="E45" s="176"/>
      <c r="F45" s="176"/>
      <c r="G45" s="176"/>
      <c r="H45" s="176"/>
    </row>
    <row r="46" spans="3:8" x14ac:dyDescent="0.25">
      <c r="C46" s="176"/>
      <c r="D46" s="176"/>
      <c r="E46" s="176"/>
      <c r="F46" s="176"/>
      <c r="G46" s="176"/>
      <c r="H46" s="176"/>
    </row>
    <row r="47" spans="3:8" x14ac:dyDescent="0.25">
      <c r="C47" s="176"/>
      <c r="D47" s="176"/>
      <c r="E47" s="176"/>
      <c r="F47" s="176"/>
      <c r="G47" s="176"/>
      <c r="H47" s="176"/>
    </row>
    <row r="48" spans="3:8" x14ac:dyDescent="0.25">
      <c r="C48" s="176"/>
      <c r="D48" s="176"/>
      <c r="E48" s="176"/>
      <c r="F48" s="176"/>
      <c r="G48" s="176"/>
      <c r="H48" s="176"/>
    </row>
    <row r="49" spans="3:8" x14ac:dyDescent="0.25">
      <c r="C49" s="176"/>
      <c r="D49" s="176"/>
      <c r="E49" s="176"/>
      <c r="F49" s="176"/>
      <c r="G49" s="176"/>
      <c r="H49" s="176"/>
    </row>
    <row r="50" spans="3:8" x14ac:dyDescent="0.25">
      <c r="C50" s="176"/>
      <c r="D50" s="176"/>
      <c r="E50" s="176"/>
      <c r="F50" s="176"/>
      <c r="G50" s="176"/>
      <c r="H50" s="176"/>
    </row>
    <row r="51" spans="3:8" x14ac:dyDescent="0.25">
      <c r="C51" s="176"/>
      <c r="D51" s="176"/>
      <c r="E51" s="176"/>
      <c r="F51" s="176"/>
      <c r="G51" s="176"/>
      <c r="H51" s="176"/>
    </row>
    <row r="52" spans="3:8" x14ac:dyDescent="0.25">
      <c r="C52" s="176"/>
      <c r="D52" s="176"/>
      <c r="E52" s="176"/>
      <c r="F52" s="176"/>
      <c r="G52" s="176"/>
      <c r="H52" s="176"/>
    </row>
    <row r="53" spans="3:8" x14ac:dyDescent="0.25">
      <c r="C53" s="176"/>
      <c r="D53" s="176"/>
      <c r="E53" s="176"/>
      <c r="F53" s="176"/>
      <c r="G53" s="176"/>
      <c r="H53" s="176"/>
    </row>
    <row r="54" spans="3:8" x14ac:dyDescent="0.25">
      <c r="C54" s="176"/>
      <c r="D54" s="176"/>
      <c r="E54" s="176"/>
      <c r="F54" s="176"/>
      <c r="G54" s="176"/>
      <c r="H54" s="176"/>
    </row>
    <row r="55" spans="3:8" x14ac:dyDescent="0.25">
      <c r="C55" s="176"/>
      <c r="D55" s="176"/>
      <c r="E55" s="176"/>
      <c r="F55" s="176"/>
      <c r="G55" s="176"/>
      <c r="H55" s="176"/>
    </row>
    <row r="56" spans="3:8" x14ac:dyDescent="0.25">
      <c r="C56" s="176"/>
      <c r="D56" s="176"/>
      <c r="E56" s="176"/>
      <c r="F56" s="176"/>
      <c r="G56" s="176"/>
      <c r="H56" s="176"/>
    </row>
    <row r="57" spans="3:8" x14ac:dyDescent="0.25">
      <c r="C57" s="176"/>
      <c r="D57" s="176"/>
      <c r="E57" s="176"/>
      <c r="F57" s="176"/>
      <c r="G57" s="176"/>
      <c r="H57" s="176"/>
    </row>
    <row r="58" spans="3:8" x14ac:dyDescent="0.25">
      <c r="C58" s="176"/>
      <c r="D58" s="176"/>
      <c r="E58" s="176"/>
      <c r="F58" s="176"/>
      <c r="G58" s="176"/>
      <c r="H58" s="176"/>
    </row>
    <row r="59" spans="3:8" x14ac:dyDescent="0.25">
      <c r="C59" s="176"/>
      <c r="D59" s="176"/>
      <c r="E59" s="176"/>
      <c r="F59" s="176"/>
      <c r="G59" s="176"/>
      <c r="H59" s="176"/>
    </row>
    <row r="60" spans="3:8" x14ac:dyDescent="0.25">
      <c r="C60" s="176"/>
      <c r="D60" s="176"/>
      <c r="E60" s="176"/>
      <c r="F60" s="176"/>
      <c r="G60" s="176"/>
      <c r="H60" s="176"/>
    </row>
    <row r="61" spans="3:8" x14ac:dyDescent="0.25">
      <c r="C61" s="176"/>
      <c r="D61" s="176"/>
      <c r="E61" s="176"/>
      <c r="F61" s="176"/>
      <c r="G61" s="176"/>
      <c r="H61" s="176"/>
    </row>
    <row r="62" spans="3:8" x14ac:dyDescent="0.25">
      <c r="C62" s="176"/>
      <c r="D62" s="176"/>
      <c r="E62" s="176"/>
      <c r="F62" s="176"/>
      <c r="G62" s="176"/>
      <c r="H62" s="176"/>
    </row>
    <row r="63" spans="3:8" x14ac:dyDescent="0.25">
      <c r="C63" s="176"/>
      <c r="D63" s="176"/>
      <c r="E63" s="176"/>
      <c r="F63" s="176"/>
      <c r="G63" s="176"/>
      <c r="H63" s="176"/>
    </row>
    <row r="64" spans="3:8" x14ac:dyDescent="0.25">
      <c r="C64" s="176"/>
      <c r="D64" s="176"/>
      <c r="E64" s="176"/>
      <c r="F64" s="176"/>
      <c r="G64" s="176"/>
      <c r="H64" s="176"/>
    </row>
    <row r="65" spans="3:8" x14ac:dyDescent="0.25">
      <c r="C65" s="176"/>
      <c r="D65" s="176"/>
      <c r="E65" s="176"/>
      <c r="F65" s="176"/>
      <c r="G65" s="176"/>
      <c r="H65" s="176"/>
    </row>
    <row r="66" spans="3:8" x14ac:dyDescent="0.25">
      <c r="C66" s="176"/>
      <c r="D66" s="176"/>
      <c r="E66" s="176"/>
      <c r="F66" s="176"/>
      <c r="G66" s="176"/>
      <c r="H66" s="176"/>
    </row>
    <row r="67" spans="3:8" x14ac:dyDescent="0.25">
      <c r="C67" s="176"/>
      <c r="D67" s="176"/>
      <c r="E67" s="176"/>
      <c r="F67" s="176"/>
      <c r="G67" s="176"/>
      <c r="H67" s="176"/>
    </row>
    <row r="68" spans="3:8" x14ac:dyDescent="0.25">
      <c r="C68" s="176"/>
      <c r="D68" s="176"/>
      <c r="E68" s="176"/>
      <c r="F68" s="176"/>
      <c r="G68" s="176"/>
      <c r="H68" s="176"/>
    </row>
    <row r="69" spans="3:8" x14ac:dyDescent="0.25">
      <c r="C69" s="176"/>
      <c r="D69" s="176"/>
      <c r="E69" s="176"/>
      <c r="F69" s="176"/>
      <c r="G69" s="176"/>
      <c r="H69" s="176"/>
    </row>
    <row r="70" spans="3:8" x14ac:dyDescent="0.25">
      <c r="C70" s="176"/>
      <c r="D70" s="176"/>
      <c r="E70" s="176"/>
      <c r="F70" s="176"/>
      <c r="G70" s="176"/>
      <c r="H70" s="176"/>
    </row>
    <row r="71" spans="3:8" x14ac:dyDescent="0.25">
      <c r="C71" s="176"/>
      <c r="D71" s="176"/>
      <c r="E71" s="176"/>
      <c r="F71" s="176"/>
      <c r="G71" s="176"/>
      <c r="H71" s="176"/>
    </row>
    <row r="72" spans="3:8" x14ac:dyDescent="0.25">
      <c r="C72" s="176"/>
      <c r="D72" s="176"/>
      <c r="E72" s="176"/>
      <c r="F72" s="176"/>
      <c r="G72" s="176"/>
      <c r="H72" s="176"/>
    </row>
    <row r="73" spans="3:8" x14ac:dyDescent="0.25">
      <c r="C73" s="176"/>
      <c r="D73" s="176"/>
      <c r="E73" s="176"/>
      <c r="F73" s="176"/>
      <c r="G73" s="176"/>
      <c r="H73" s="176"/>
    </row>
    <row r="74" spans="3:8" x14ac:dyDescent="0.25">
      <c r="C74" s="176"/>
      <c r="D74" s="176"/>
      <c r="E74" s="176"/>
      <c r="F74" s="176"/>
      <c r="G74" s="176"/>
      <c r="H74" s="176"/>
    </row>
    <row r="75" spans="3:8" x14ac:dyDescent="0.25">
      <c r="C75" s="176"/>
      <c r="D75" s="176"/>
      <c r="E75" s="176"/>
      <c r="F75" s="176"/>
      <c r="G75" s="176"/>
      <c r="H75" s="176"/>
    </row>
    <row r="76" spans="3:8" x14ac:dyDescent="0.25">
      <c r="C76" s="176"/>
      <c r="D76" s="176"/>
      <c r="E76" s="176"/>
      <c r="F76" s="176"/>
      <c r="G76" s="176"/>
      <c r="H76" s="176"/>
    </row>
    <row r="77" spans="3:8" x14ac:dyDescent="0.25">
      <c r="C77" s="176"/>
      <c r="D77" s="176"/>
      <c r="E77" s="176"/>
      <c r="F77" s="176"/>
      <c r="G77" s="176"/>
      <c r="H77" s="176"/>
    </row>
    <row r="78" spans="3:8" x14ac:dyDescent="0.25">
      <c r="C78" s="176"/>
      <c r="D78" s="176"/>
      <c r="E78" s="176"/>
      <c r="F78" s="176"/>
      <c r="G78" s="176"/>
      <c r="H78" s="176"/>
    </row>
    <row r="79" spans="3:8" x14ac:dyDescent="0.25">
      <c r="C79" s="176"/>
      <c r="D79" s="176"/>
      <c r="E79" s="176"/>
      <c r="F79" s="176"/>
      <c r="G79" s="176"/>
      <c r="H79" s="176"/>
    </row>
    <row r="80" spans="3:8" x14ac:dyDescent="0.25">
      <c r="C80" s="176"/>
      <c r="D80" s="176"/>
      <c r="E80" s="176"/>
      <c r="F80" s="176"/>
      <c r="G80" s="176"/>
      <c r="H80" s="176"/>
    </row>
    <row r="81" spans="3:8" x14ac:dyDescent="0.25">
      <c r="C81" s="176"/>
      <c r="D81" s="176"/>
      <c r="E81" s="176"/>
      <c r="F81" s="176"/>
      <c r="G81" s="176"/>
      <c r="H81" s="176"/>
    </row>
    <row r="82" spans="3:8" x14ac:dyDescent="0.25">
      <c r="C82" s="176"/>
      <c r="D82" s="176"/>
      <c r="E82" s="176"/>
      <c r="F82" s="176"/>
      <c r="G82" s="176"/>
      <c r="H82" s="176"/>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ignoredErrors>
    <ignoredError sqref="E10"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37"/>
  <sheetViews>
    <sheetView zoomScaleNormal="100" workbookViewId="0">
      <pane xSplit="2" ySplit="5" topLeftCell="C6" activePane="bottomRight" state="frozen"/>
      <selection pane="topRight" activeCell="C1" sqref="C1"/>
      <selection pane="bottomLeft" activeCell="A6" sqref="A6"/>
      <selection pane="bottomRight" activeCell="R9" sqref="R9:AK18"/>
    </sheetView>
  </sheetViews>
  <sheetFormatPr defaultColWidth="9.140625" defaultRowHeight="15.75" x14ac:dyDescent="0.25"/>
  <cols>
    <col min="1" max="1" width="7.42578125" style="205" customWidth="1"/>
    <col min="2" max="2" width="38.85546875" style="210" customWidth="1"/>
    <col min="3" max="4" width="12.85546875" style="205" customWidth="1"/>
    <col min="5" max="5" width="16.7109375" style="205" customWidth="1"/>
    <col min="6" max="6" width="14.28515625" style="205" bestFit="1" customWidth="1"/>
    <col min="7" max="8" width="13.140625" style="205" bestFit="1" customWidth="1"/>
    <col min="9" max="9" width="10.7109375" style="205" bestFit="1" customWidth="1"/>
    <col min="10" max="10" width="12.42578125" style="205" customWidth="1"/>
    <col min="11" max="11" width="12.5703125" style="205" customWidth="1"/>
    <col min="12" max="12" width="14.42578125" style="205" customWidth="1"/>
    <col min="13" max="13" width="14.85546875" style="205" customWidth="1"/>
    <col min="14" max="14" width="14.5703125" style="205" customWidth="1"/>
    <col min="15" max="15" width="17.5703125" style="205" bestFit="1" customWidth="1"/>
    <col min="16" max="16" width="14.42578125" style="205" customWidth="1"/>
    <col min="17" max="17" width="11.28515625" style="801" bestFit="1" customWidth="1"/>
    <col min="18" max="16384" width="9.140625" style="205"/>
  </cols>
  <sheetData>
    <row r="1" spans="1:256" ht="27.75" customHeight="1" thickBot="1" x14ac:dyDescent="0.3">
      <c r="A1" s="1025" t="s">
        <v>1007</v>
      </c>
      <c r="B1" s="1026"/>
      <c r="C1" s="1026"/>
      <c r="D1" s="1026"/>
      <c r="E1" s="1026"/>
      <c r="F1" s="1026"/>
      <c r="G1" s="1026"/>
      <c r="H1" s="1026"/>
      <c r="I1" s="1026"/>
      <c r="J1" s="1026"/>
      <c r="K1" s="1026"/>
      <c r="L1" s="1026"/>
      <c r="M1" s="1026"/>
      <c r="N1" s="1027"/>
    </row>
    <row r="2" spans="1:256" ht="28.5" customHeight="1" x14ac:dyDescent="0.25">
      <c r="A2" s="1028" t="s">
        <v>1323</v>
      </c>
      <c r="B2" s="1029"/>
      <c r="C2" s="1029"/>
      <c r="D2" s="1029"/>
      <c r="E2" s="1029"/>
      <c r="F2" s="1029"/>
      <c r="G2" s="1029"/>
      <c r="H2" s="1029"/>
      <c r="I2" s="1030"/>
      <c r="J2" s="1030"/>
      <c r="K2" s="1029"/>
      <c r="L2" s="1029"/>
      <c r="M2" s="1029"/>
      <c r="N2" s="1031"/>
    </row>
    <row r="3" spans="1:256" ht="51.75" customHeight="1" x14ac:dyDescent="0.25">
      <c r="A3" s="1032" t="s">
        <v>208</v>
      </c>
      <c r="B3" s="1033" t="s">
        <v>914</v>
      </c>
      <c r="C3" s="1035" t="s">
        <v>338</v>
      </c>
      <c r="D3" s="1035"/>
      <c r="E3" s="1035" t="s">
        <v>339</v>
      </c>
      <c r="F3" s="1035"/>
      <c r="G3" s="1035" t="s">
        <v>340</v>
      </c>
      <c r="H3" s="1008"/>
      <c r="I3" s="1036" t="s">
        <v>784</v>
      </c>
      <c r="J3" s="1036"/>
      <c r="K3" s="1037" t="s">
        <v>312</v>
      </c>
      <c r="L3" s="1035"/>
      <c r="M3" s="1035" t="s">
        <v>332</v>
      </c>
      <c r="N3" s="1038"/>
      <c r="O3" s="206"/>
      <c r="P3" s="206"/>
      <c r="Q3" s="797"/>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row>
    <row r="4" spans="1:256" ht="17.25" customHeight="1" x14ac:dyDescent="0.25">
      <c r="A4" s="1032"/>
      <c r="B4" s="1034"/>
      <c r="C4" s="514">
        <v>2015</v>
      </c>
      <c r="D4" s="514">
        <v>2016</v>
      </c>
      <c r="E4" s="514">
        <v>2015</v>
      </c>
      <c r="F4" s="514">
        <v>2016</v>
      </c>
      <c r="G4" s="514">
        <v>2015</v>
      </c>
      <c r="H4" s="514">
        <v>2016</v>
      </c>
      <c r="I4" s="514">
        <v>2015</v>
      </c>
      <c r="J4" s="514">
        <v>2016</v>
      </c>
      <c r="K4" s="514">
        <v>2015</v>
      </c>
      <c r="L4" s="514">
        <v>2016</v>
      </c>
      <c r="M4" s="514">
        <v>2015</v>
      </c>
      <c r="N4" s="515">
        <v>2016</v>
      </c>
      <c r="O4" s="206"/>
      <c r="P4" s="206"/>
      <c r="Q4" s="797"/>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row>
    <row r="5" spans="1:256" ht="31.5" x14ac:dyDescent="0.25">
      <c r="A5" s="43"/>
      <c r="B5" s="207"/>
      <c r="C5" s="37" t="s">
        <v>289</v>
      </c>
      <c r="D5" s="37" t="s">
        <v>290</v>
      </c>
      <c r="E5" s="37" t="s">
        <v>291</v>
      </c>
      <c r="F5" s="37" t="s">
        <v>298</v>
      </c>
      <c r="G5" s="37" t="s">
        <v>292</v>
      </c>
      <c r="H5" s="236" t="s">
        <v>293</v>
      </c>
      <c r="I5" s="37" t="s">
        <v>294</v>
      </c>
      <c r="J5" s="37" t="s">
        <v>295</v>
      </c>
      <c r="K5" s="37" t="s">
        <v>296</v>
      </c>
      <c r="L5" s="37" t="s">
        <v>717</v>
      </c>
      <c r="M5" s="262" t="s">
        <v>891</v>
      </c>
      <c r="N5" s="263" t="s">
        <v>892</v>
      </c>
      <c r="O5" s="206"/>
      <c r="P5" s="206"/>
      <c r="Q5" s="802"/>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c r="IC5" s="208"/>
      <c r="ID5" s="208"/>
      <c r="IE5" s="208"/>
      <c r="IF5" s="208"/>
      <c r="IG5" s="208"/>
      <c r="IH5" s="208"/>
      <c r="II5" s="208"/>
      <c r="IJ5" s="208"/>
      <c r="IK5" s="208"/>
      <c r="IL5" s="208"/>
      <c r="IM5" s="208"/>
      <c r="IN5" s="208"/>
      <c r="IO5" s="208"/>
      <c r="IP5" s="208"/>
      <c r="IQ5" s="208"/>
      <c r="IR5" s="208"/>
      <c r="IS5" s="208"/>
      <c r="IT5" s="208"/>
      <c r="IU5" s="208"/>
      <c r="IV5" s="208"/>
    </row>
    <row r="6" spans="1:256" ht="31.5" x14ac:dyDescent="0.25">
      <c r="A6" s="43">
        <v>1</v>
      </c>
      <c r="B6" s="323" t="s">
        <v>204</v>
      </c>
      <c r="C6" s="761">
        <v>615626.54</v>
      </c>
      <c r="D6" s="762">
        <f>C17</f>
        <v>773222.27000000048</v>
      </c>
      <c r="E6" s="761">
        <v>21053468.050000001</v>
      </c>
      <c r="F6" s="762">
        <f>E17</f>
        <v>16432053.160000002</v>
      </c>
      <c r="G6" s="763">
        <v>855979.7</v>
      </c>
      <c r="H6" s="764">
        <f>G17</f>
        <v>793178.80000000028</v>
      </c>
      <c r="I6" s="761">
        <v>685.95</v>
      </c>
      <c r="J6" s="762">
        <f>SUM(I17)</f>
        <v>685.95</v>
      </c>
      <c r="K6" s="761">
        <v>510835.99</v>
      </c>
      <c r="L6" s="762">
        <f>SUM(K17)</f>
        <v>541633.94999999995</v>
      </c>
      <c r="M6" s="762">
        <f t="shared" ref="M6:N8" si="0">C6+E6+G6+I6+K6</f>
        <v>23036596.229999997</v>
      </c>
      <c r="N6" s="765">
        <f t="shared" si="0"/>
        <v>18540774.130000003</v>
      </c>
      <c r="O6" s="206"/>
      <c r="P6" s="206"/>
    </row>
    <row r="7" spans="1:256" ht="31.5" x14ac:dyDescent="0.25">
      <c r="A7" s="43">
        <v>2</v>
      </c>
      <c r="B7" s="324" t="s">
        <v>759</v>
      </c>
      <c r="C7" s="762">
        <f t="shared" ref="C7:L7" si="1">SUM(C8:C15)</f>
        <v>2560949.2400000002</v>
      </c>
      <c r="D7" s="762">
        <f t="shared" si="1"/>
        <v>3537663.4499999997</v>
      </c>
      <c r="E7" s="762">
        <f t="shared" si="1"/>
        <v>2845298.94</v>
      </c>
      <c r="F7" s="762">
        <f t="shared" si="1"/>
        <v>3780082</v>
      </c>
      <c r="G7" s="764">
        <v>3782809.2</v>
      </c>
      <c r="H7" s="764">
        <f>SUM(H8:H15)</f>
        <v>3853563.68</v>
      </c>
      <c r="I7" s="762">
        <f t="shared" si="1"/>
        <v>0</v>
      </c>
      <c r="J7" s="762">
        <f t="shared" si="1"/>
        <v>0</v>
      </c>
      <c r="K7" s="762">
        <f t="shared" si="1"/>
        <v>332208.28999999998</v>
      </c>
      <c r="L7" s="762">
        <f t="shared" si="1"/>
        <v>226867.32</v>
      </c>
      <c r="M7" s="762">
        <f t="shared" si="0"/>
        <v>9521265.6699999981</v>
      </c>
      <c r="N7" s="765">
        <f t="shared" si="0"/>
        <v>11398176.449999999</v>
      </c>
      <c r="O7" s="798"/>
      <c r="P7" s="797"/>
    </row>
    <row r="8" spans="1:256" ht="22.5" customHeight="1" x14ac:dyDescent="0.25">
      <c r="A8" s="43">
        <v>3</v>
      </c>
      <c r="B8" s="325" t="s">
        <v>90</v>
      </c>
      <c r="C8" s="766">
        <v>2457110.75</v>
      </c>
      <c r="D8" s="766">
        <v>3468716.84</v>
      </c>
      <c r="E8" s="766"/>
      <c r="F8" s="766"/>
      <c r="G8" s="767"/>
      <c r="H8" s="767"/>
      <c r="I8" s="766"/>
      <c r="J8" s="766"/>
      <c r="K8" s="766"/>
      <c r="L8" s="766"/>
      <c r="M8" s="762">
        <f t="shared" si="0"/>
        <v>2457110.75</v>
      </c>
      <c r="N8" s="765">
        <f t="shared" si="0"/>
        <v>3468716.84</v>
      </c>
    </row>
    <row r="9" spans="1:256" ht="21.75" customHeight="1" x14ac:dyDescent="0.25">
      <c r="A9" s="43">
        <v>4</v>
      </c>
      <c r="B9" s="325" t="s">
        <v>321</v>
      </c>
      <c r="C9" s="768" t="s">
        <v>320</v>
      </c>
      <c r="D9" s="768" t="s">
        <v>320</v>
      </c>
      <c r="E9" s="766">
        <v>2746308.71</v>
      </c>
      <c r="F9" s="769">
        <v>3377058.59</v>
      </c>
      <c r="G9" s="768" t="s">
        <v>320</v>
      </c>
      <c r="H9" s="768" t="s">
        <v>320</v>
      </c>
      <c r="I9" s="770" t="s">
        <v>320</v>
      </c>
      <c r="J9" s="770" t="s">
        <v>320</v>
      </c>
      <c r="K9" s="768" t="s">
        <v>320</v>
      </c>
      <c r="L9" s="768" t="s">
        <v>320</v>
      </c>
      <c r="M9" s="762">
        <f>E9</f>
        <v>2746308.71</v>
      </c>
      <c r="N9" s="765">
        <f>F9</f>
        <v>3377058.59</v>
      </c>
      <c r="O9" s="799"/>
      <c r="P9" s="801"/>
      <c r="R9" s="1019"/>
      <c r="S9" s="1019"/>
      <c r="T9" s="1019"/>
      <c r="U9" s="1019"/>
      <c r="V9" s="1019"/>
      <c r="W9" s="1019"/>
      <c r="X9" s="1019"/>
      <c r="Y9" s="1019"/>
      <c r="Z9" s="1019"/>
      <c r="AA9" s="1019"/>
      <c r="AB9" s="1019"/>
      <c r="AC9" s="1019"/>
      <c r="AD9" s="1019"/>
      <c r="AE9" s="1019"/>
      <c r="AF9" s="1019"/>
      <c r="AG9" s="1019"/>
      <c r="AH9" s="1019"/>
      <c r="AI9" s="1019"/>
      <c r="AJ9" s="1019"/>
      <c r="AK9" s="1019"/>
    </row>
    <row r="10" spans="1:256" ht="31.5" x14ac:dyDescent="0.25">
      <c r="A10" s="43">
        <v>5</v>
      </c>
      <c r="B10" s="325" t="s">
        <v>11</v>
      </c>
      <c r="C10" s="768" t="s">
        <v>320</v>
      </c>
      <c r="D10" s="768" t="s">
        <v>320</v>
      </c>
      <c r="E10" s="766">
        <v>106373.15</v>
      </c>
      <c r="F10" s="766">
        <v>403023.41</v>
      </c>
      <c r="G10" s="768" t="s">
        <v>320</v>
      </c>
      <c r="H10" s="768" t="s">
        <v>320</v>
      </c>
      <c r="I10" s="770" t="s">
        <v>320</v>
      </c>
      <c r="J10" s="770" t="s">
        <v>320</v>
      </c>
      <c r="K10" s="768" t="s">
        <v>320</v>
      </c>
      <c r="L10" s="768" t="s">
        <v>320</v>
      </c>
      <c r="M10" s="762">
        <f>E10</f>
        <v>106373.15</v>
      </c>
      <c r="N10" s="765">
        <f>F10</f>
        <v>403023.41</v>
      </c>
      <c r="O10" s="800"/>
      <c r="P10" s="802"/>
      <c r="Q10" s="802"/>
      <c r="R10" s="1020"/>
      <c r="S10" s="1020"/>
      <c r="T10" s="1020"/>
      <c r="U10" s="1020"/>
      <c r="V10" s="1020"/>
      <c r="W10" s="1020"/>
      <c r="X10" s="1020"/>
      <c r="Y10" s="1020"/>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08"/>
    </row>
    <row r="11" spans="1:256" ht="31.5" x14ac:dyDescent="0.25">
      <c r="A11" s="43">
        <v>6</v>
      </c>
      <c r="B11" s="325" t="s">
        <v>322</v>
      </c>
      <c r="C11" s="768" t="s">
        <v>320</v>
      </c>
      <c r="D11" s="768" t="s">
        <v>320</v>
      </c>
      <c r="E11" s="766"/>
      <c r="F11" s="766"/>
      <c r="G11" s="767"/>
      <c r="H11" s="767">
        <v>38078.239999999998</v>
      </c>
      <c r="I11" s="771"/>
      <c r="J11" s="771"/>
      <c r="K11" s="761"/>
      <c r="L11" s="761"/>
      <c r="M11" s="762">
        <f>E11+G11+I11+K11</f>
        <v>0</v>
      </c>
      <c r="N11" s="765">
        <f>F11+H11+J11+L11</f>
        <v>38078.239999999998</v>
      </c>
    </row>
    <row r="12" spans="1:256" ht="17.25" customHeight="1" x14ac:dyDescent="0.25">
      <c r="A12" s="43">
        <v>7</v>
      </c>
      <c r="B12" s="325" t="s">
        <v>323</v>
      </c>
      <c r="C12" s="766">
        <v>0</v>
      </c>
      <c r="D12" s="766"/>
      <c r="E12" s="766">
        <v>-4107</v>
      </c>
      <c r="F12" s="766"/>
      <c r="G12" s="767"/>
      <c r="H12" s="767">
        <v>13190</v>
      </c>
      <c r="I12" s="771"/>
      <c r="J12" s="771"/>
      <c r="K12" s="766">
        <v>332208.28999999998</v>
      </c>
      <c r="L12" s="766">
        <v>214981.7</v>
      </c>
      <c r="M12" s="762">
        <f>C12+E12+G12+I12+K12</f>
        <v>328101.28999999998</v>
      </c>
      <c r="N12" s="765">
        <f>D12+F12+H12+J12+L12</f>
        <v>228171.7</v>
      </c>
    </row>
    <row r="13" spans="1:256" ht="18.75" x14ac:dyDescent="0.25">
      <c r="A13" s="43">
        <v>8</v>
      </c>
      <c r="B13" s="326" t="s">
        <v>91</v>
      </c>
      <c r="C13" s="768" t="s">
        <v>320</v>
      </c>
      <c r="D13" s="768" t="s">
        <v>320</v>
      </c>
      <c r="E13" s="768" t="s">
        <v>320</v>
      </c>
      <c r="F13" s="768" t="s">
        <v>320</v>
      </c>
      <c r="G13" s="767">
        <v>3395338.1</v>
      </c>
      <c r="H13" s="767">
        <v>3599387</v>
      </c>
      <c r="I13" s="772" t="s">
        <v>320</v>
      </c>
      <c r="J13" s="772" t="s">
        <v>320</v>
      </c>
      <c r="K13" s="773" t="s">
        <v>320</v>
      </c>
      <c r="L13" s="773" t="s">
        <v>320</v>
      </c>
      <c r="M13" s="762">
        <f>G13</f>
        <v>3395338.1</v>
      </c>
      <c r="N13" s="765">
        <f>H13</f>
        <v>3599387</v>
      </c>
      <c r="O13" s="799"/>
      <c r="P13" s="801"/>
      <c r="R13" s="799"/>
    </row>
    <row r="14" spans="1:256" ht="19.5" customHeight="1" x14ac:dyDescent="0.25">
      <c r="A14" s="43">
        <v>9</v>
      </c>
      <c r="B14" s="325" t="s">
        <v>24</v>
      </c>
      <c r="C14" s="768" t="s">
        <v>320</v>
      </c>
      <c r="D14" s="768" t="s">
        <v>320</v>
      </c>
      <c r="E14" s="768" t="s">
        <v>320</v>
      </c>
      <c r="F14" s="768" t="s">
        <v>320</v>
      </c>
      <c r="G14" s="767">
        <v>231899.73</v>
      </c>
      <c r="H14" s="767">
        <v>202908.44</v>
      </c>
      <c r="I14" s="774" t="s">
        <v>320</v>
      </c>
      <c r="J14" s="774" t="s">
        <v>320</v>
      </c>
      <c r="K14" s="773" t="s">
        <v>320</v>
      </c>
      <c r="L14" s="773" t="s">
        <v>320</v>
      </c>
      <c r="M14" s="762">
        <f>G14</f>
        <v>231899.73</v>
      </c>
      <c r="N14" s="765">
        <f>H14</f>
        <v>202908.44</v>
      </c>
      <c r="O14" s="799"/>
      <c r="P14" s="801"/>
    </row>
    <row r="15" spans="1:256" ht="18.75" x14ac:dyDescent="0.25">
      <c r="A15" s="43">
        <v>10</v>
      </c>
      <c r="B15" s="325" t="s">
        <v>92</v>
      </c>
      <c r="C15" s="766">
        <v>103838.49</v>
      </c>
      <c r="D15" s="766">
        <v>68946.61</v>
      </c>
      <c r="E15" s="766">
        <v>-3275.92</v>
      </c>
      <c r="F15" s="766"/>
      <c r="G15" s="767">
        <v>155571.37</v>
      </c>
      <c r="H15" s="767"/>
      <c r="I15" s="771"/>
      <c r="J15" s="771"/>
      <c r="K15" s="766"/>
      <c r="L15" s="766">
        <v>11885.62</v>
      </c>
      <c r="M15" s="762">
        <f>C15+E15+G15+I15+K15</f>
        <v>256133.94</v>
      </c>
      <c r="N15" s="765">
        <f>D15+F15+H15+J15+L15</f>
        <v>80832.23</v>
      </c>
    </row>
    <row r="16" spans="1:256" ht="31.5" x14ac:dyDescent="0.25">
      <c r="A16" s="43">
        <v>11</v>
      </c>
      <c r="B16" s="323" t="s">
        <v>205</v>
      </c>
      <c r="C16" s="761">
        <v>2403353.5099999998</v>
      </c>
      <c r="D16" s="761">
        <v>4263851.32</v>
      </c>
      <c r="E16" s="761">
        <v>7466713.8300000001</v>
      </c>
      <c r="F16" s="761">
        <v>4242649.58</v>
      </c>
      <c r="G16" s="767">
        <v>3845610.1</v>
      </c>
      <c r="H16" s="767">
        <v>3580746.02</v>
      </c>
      <c r="I16" s="761"/>
      <c r="J16" s="761"/>
      <c r="K16" s="761">
        <v>301410.33</v>
      </c>
      <c r="L16" s="761">
        <v>236311.22</v>
      </c>
      <c r="M16" s="762">
        <f t="shared" ref="M16:N18" si="2">C16+E16+G16+I16+K16</f>
        <v>14017087.77</v>
      </c>
      <c r="N16" s="765">
        <f t="shared" si="2"/>
        <v>12323558.140000001</v>
      </c>
      <c r="O16" s="799"/>
      <c r="P16" s="801"/>
      <c r="R16" s="799"/>
    </row>
    <row r="17" spans="1:23" ht="31.5" x14ac:dyDescent="0.25">
      <c r="A17" s="43">
        <v>12</v>
      </c>
      <c r="B17" s="323" t="s">
        <v>25</v>
      </c>
      <c r="C17" s="762">
        <f t="shared" ref="C17:L17" si="3">C6+C7-C16</f>
        <v>773222.27000000048</v>
      </c>
      <c r="D17" s="762">
        <f t="shared" si="3"/>
        <v>47034.400000000373</v>
      </c>
      <c r="E17" s="762">
        <f t="shared" si="3"/>
        <v>16432053.160000002</v>
      </c>
      <c r="F17" s="762">
        <f t="shared" si="3"/>
        <v>15969485.580000004</v>
      </c>
      <c r="G17" s="764">
        <f t="shared" si="3"/>
        <v>793178.80000000028</v>
      </c>
      <c r="H17" s="764">
        <f t="shared" si="3"/>
        <v>1065996.4600000004</v>
      </c>
      <c r="I17" s="762">
        <f t="shared" si="3"/>
        <v>685.95</v>
      </c>
      <c r="J17" s="762">
        <f t="shared" si="3"/>
        <v>685.95</v>
      </c>
      <c r="K17" s="762">
        <f t="shared" si="3"/>
        <v>541633.94999999995</v>
      </c>
      <c r="L17" s="762">
        <f t="shared" si="3"/>
        <v>532190.05000000005</v>
      </c>
      <c r="M17" s="762">
        <f t="shared" si="2"/>
        <v>18540774.130000003</v>
      </c>
      <c r="N17" s="765">
        <f t="shared" si="2"/>
        <v>17615392.440000005</v>
      </c>
      <c r="O17" s="799"/>
      <c r="P17" s="801"/>
      <c r="R17" s="1021"/>
      <c r="S17" s="1021"/>
      <c r="T17" s="1021"/>
      <c r="U17" s="1021"/>
      <c r="V17" s="1021"/>
      <c r="W17" s="1021"/>
    </row>
    <row r="18" spans="1:23" ht="48.75" customHeight="1" thickBot="1" x14ac:dyDescent="0.3">
      <c r="A18" s="209">
        <v>13</v>
      </c>
      <c r="B18" s="327" t="s">
        <v>913</v>
      </c>
      <c r="C18" s="775">
        <v>0</v>
      </c>
      <c r="D18" s="775">
        <v>0</v>
      </c>
      <c r="E18" s="775">
        <v>911075.53</v>
      </c>
      <c r="F18" s="561">
        <v>790084.26</v>
      </c>
      <c r="G18" s="776">
        <v>0</v>
      </c>
      <c r="H18" s="776">
        <v>0</v>
      </c>
      <c r="I18" s="775">
        <v>0</v>
      </c>
      <c r="J18" s="775">
        <v>0</v>
      </c>
      <c r="K18" s="775">
        <v>0</v>
      </c>
      <c r="L18" s="775">
        <v>0</v>
      </c>
      <c r="M18" s="777">
        <f t="shared" si="2"/>
        <v>911075.53</v>
      </c>
      <c r="N18" s="778">
        <f t="shared" si="2"/>
        <v>790084.26</v>
      </c>
      <c r="O18" s="799"/>
      <c r="P18" s="801"/>
    </row>
    <row r="19" spans="1:23" x14ac:dyDescent="0.25">
      <c r="I19" s="211"/>
      <c r="J19" s="211"/>
    </row>
    <row r="20" spans="1:23" x14ac:dyDescent="0.25">
      <c r="A20" s="211" t="s">
        <v>93</v>
      </c>
      <c r="B20" s="211"/>
      <c r="C20" s="211"/>
      <c r="E20" s="211"/>
      <c r="F20" s="543">
        <v>1595799.27</v>
      </c>
      <c r="G20" s="211"/>
      <c r="H20" s="543">
        <v>-1984946.75</v>
      </c>
      <c r="I20" s="679"/>
      <c r="J20" s="211"/>
      <c r="K20" s="211"/>
      <c r="L20" s="211"/>
      <c r="M20" s="211"/>
      <c r="N20" s="211"/>
    </row>
    <row r="21" spans="1:23" x14ac:dyDescent="0.25">
      <c r="A21" s="211" t="s">
        <v>94</v>
      </c>
      <c r="B21" s="211"/>
      <c r="C21" s="211"/>
      <c r="D21" s="211"/>
      <c r="E21" s="211"/>
      <c r="F21" s="211"/>
      <c r="G21" s="211"/>
      <c r="H21" s="211"/>
      <c r="I21" s="679"/>
      <c r="J21" s="211"/>
      <c r="K21" s="211"/>
      <c r="L21" s="211"/>
      <c r="M21" s="211"/>
      <c r="N21" s="211"/>
    </row>
    <row r="22" spans="1:23" ht="33" customHeight="1" x14ac:dyDescent="0.25">
      <c r="A22" s="1022" t="s">
        <v>95</v>
      </c>
      <c r="B22" s="1022"/>
      <c r="C22" s="1022"/>
      <c r="D22" s="211"/>
      <c r="E22" s="211"/>
      <c r="F22" s="807"/>
      <c r="G22" s="808"/>
      <c r="H22" s="809"/>
      <c r="I22" s="810"/>
      <c r="J22" s="211"/>
      <c r="K22" s="211"/>
      <c r="L22" s="211"/>
      <c r="M22" s="211"/>
      <c r="N22" s="211"/>
    </row>
    <row r="23" spans="1:23" ht="22.35" customHeight="1" x14ac:dyDescent="0.25">
      <c r="F23" s="1023"/>
      <c r="G23" s="1023"/>
      <c r="H23" s="1023"/>
      <c r="I23" s="1023"/>
      <c r="J23" s="1023"/>
      <c r="K23" s="1023"/>
      <c r="L23" s="211"/>
    </row>
    <row r="24" spans="1:23" x14ac:dyDescent="0.25">
      <c r="B24" s="122"/>
      <c r="C24" s="1"/>
    </row>
    <row r="25" spans="1:23" x14ac:dyDescent="0.25">
      <c r="B25" s="811"/>
      <c r="C25" s="1024"/>
      <c r="D25" s="1024"/>
      <c r="G25" s="544"/>
      <c r="I25" s="544"/>
      <c r="K25" s="545"/>
      <c r="M25" s="546"/>
    </row>
    <row r="26" spans="1:23" x14ac:dyDescent="0.25">
      <c r="B26" s="811"/>
      <c r="C26" s="1024"/>
      <c r="D26" s="1024"/>
      <c r="E26" s="554"/>
    </row>
    <row r="27" spans="1:23" x14ac:dyDescent="0.25">
      <c r="B27" s="812"/>
      <c r="C27" s="45"/>
    </row>
    <row r="28" spans="1:23" x14ac:dyDescent="0.25">
      <c r="F28" s="547"/>
      <c r="G28" s="547"/>
      <c r="H28" s="547"/>
      <c r="I28" s="548"/>
      <c r="J28" s="549"/>
    </row>
    <row r="31" spans="1:23" x14ac:dyDescent="0.25">
      <c r="F31" s="547"/>
      <c r="G31" s="547"/>
      <c r="H31" s="547"/>
      <c r="I31" s="548"/>
      <c r="J31" s="550"/>
    </row>
    <row r="34" spans="5:11" x14ac:dyDescent="0.25">
      <c r="F34" s="547"/>
      <c r="G34" s="551"/>
      <c r="H34" s="552"/>
      <c r="I34" s="547"/>
      <c r="J34" s="548"/>
      <c r="K34" s="553"/>
    </row>
    <row r="37" spans="5:11" ht="15.75" customHeight="1" x14ac:dyDescent="0.25">
      <c r="E37" s="796"/>
      <c r="F37" s="796"/>
      <c r="G37" s="796"/>
      <c r="H37" s="796"/>
    </row>
  </sheetData>
  <mergeCells count="17">
    <mergeCell ref="C25:D25"/>
    <mergeCell ref="C26:D26"/>
    <mergeCell ref="A1:N1"/>
    <mergeCell ref="A2:N2"/>
    <mergeCell ref="A3:A4"/>
    <mergeCell ref="B3:B4"/>
    <mergeCell ref="C3:D3"/>
    <mergeCell ref="E3:F3"/>
    <mergeCell ref="G3:H3"/>
    <mergeCell ref="I3:J3"/>
    <mergeCell ref="K3:L3"/>
    <mergeCell ref="M3:N3"/>
    <mergeCell ref="R9:AK9"/>
    <mergeCell ref="R10:Y10"/>
    <mergeCell ref="R17:W17"/>
    <mergeCell ref="A22:C22"/>
    <mergeCell ref="F23:K23"/>
  </mergeCells>
  <pageMargins left="0.42" right="0.28999999999999998"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E26"/>
  <sheetViews>
    <sheetView workbookViewId="0">
      <selection activeCell="A2" sqref="A2:B2"/>
    </sheetView>
  </sheetViews>
  <sheetFormatPr defaultColWidth="62.140625" defaultRowHeight="12.75" x14ac:dyDescent="0.2"/>
  <cols>
    <col min="1" max="1" width="17.42578125" customWidth="1"/>
    <col min="2" max="2" width="40.140625" style="118"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5" s="128" customFormat="1" ht="48" customHeight="1" thickBot="1" x14ac:dyDescent="0.25">
      <c r="A1" s="861" t="s">
        <v>963</v>
      </c>
      <c r="B1" s="862"/>
      <c r="C1" s="863"/>
    </row>
    <row r="2" spans="1:5" ht="31.5" x14ac:dyDescent="0.2">
      <c r="A2" s="859" t="s">
        <v>708</v>
      </c>
      <c r="B2" s="860"/>
      <c r="C2" s="313" t="s">
        <v>1050</v>
      </c>
    </row>
    <row r="3" spans="1:5" ht="31.5" x14ac:dyDescent="0.2">
      <c r="A3" s="311" t="s">
        <v>314</v>
      </c>
      <c r="B3" s="252" t="s">
        <v>768</v>
      </c>
      <c r="C3" s="256" t="s">
        <v>402</v>
      </c>
    </row>
    <row r="4" spans="1:5" ht="31.5" x14ac:dyDescent="0.2">
      <c r="A4" s="309" t="s">
        <v>209</v>
      </c>
      <c r="B4" s="252" t="s">
        <v>964</v>
      </c>
      <c r="C4" s="256" t="s">
        <v>402</v>
      </c>
    </row>
    <row r="5" spans="1:5" ht="31.5" x14ac:dyDescent="0.2">
      <c r="A5" s="309" t="s">
        <v>210</v>
      </c>
      <c r="B5" s="252" t="s">
        <v>769</v>
      </c>
      <c r="C5" s="373" t="s">
        <v>1067</v>
      </c>
      <c r="D5" s="237"/>
    </row>
    <row r="6" spans="1:5" ht="15.75" x14ac:dyDescent="0.2">
      <c r="A6" s="311" t="s">
        <v>211</v>
      </c>
      <c r="B6" s="252" t="s">
        <v>770</v>
      </c>
      <c r="C6" s="256" t="s">
        <v>402</v>
      </c>
      <c r="D6" s="295"/>
    </row>
    <row r="7" spans="1:5" ht="15.75" x14ac:dyDescent="0.2">
      <c r="A7" s="359" t="s">
        <v>212</v>
      </c>
      <c r="B7" s="253" t="s">
        <v>771</v>
      </c>
      <c r="C7" s="257" t="s">
        <v>1129</v>
      </c>
      <c r="D7" s="237"/>
    </row>
    <row r="8" spans="1:5" ht="15.75" x14ac:dyDescent="0.2">
      <c r="A8" s="309" t="s">
        <v>213</v>
      </c>
      <c r="B8" s="252" t="s">
        <v>772</v>
      </c>
      <c r="C8" s="256" t="s">
        <v>402</v>
      </c>
    </row>
    <row r="9" spans="1:5" ht="15.75" x14ac:dyDescent="0.2">
      <c r="A9" s="309" t="s">
        <v>873</v>
      </c>
      <c r="B9" s="255" t="s">
        <v>874</v>
      </c>
      <c r="C9" s="256" t="s">
        <v>402</v>
      </c>
    </row>
    <row r="10" spans="1:5" ht="15.75" x14ac:dyDescent="0.2">
      <c r="A10" s="238" t="s">
        <v>214</v>
      </c>
      <c r="B10" s="254" t="s">
        <v>709</v>
      </c>
      <c r="C10" s="256" t="s">
        <v>402</v>
      </c>
    </row>
    <row r="11" spans="1:5" ht="15.75" x14ac:dyDescent="0.2">
      <c r="A11" s="309" t="s">
        <v>192</v>
      </c>
      <c r="B11" s="252" t="s">
        <v>373</v>
      </c>
      <c r="C11" s="256" t="s">
        <v>402</v>
      </c>
    </row>
    <row r="12" spans="1:5" ht="15.75" x14ac:dyDescent="0.2">
      <c r="A12" s="311" t="s">
        <v>0</v>
      </c>
      <c r="B12" s="252" t="s">
        <v>374</v>
      </c>
      <c r="C12" s="257" t="s">
        <v>1068</v>
      </c>
    </row>
    <row r="13" spans="1:5" ht="15.75" x14ac:dyDescent="0.2">
      <c r="A13" s="238" t="s">
        <v>1</v>
      </c>
      <c r="B13" s="252" t="s">
        <v>375</v>
      </c>
      <c r="C13" s="256" t="s">
        <v>402</v>
      </c>
    </row>
    <row r="14" spans="1:5" ht="31.5" x14ac:dyDescent="0.2">
      <c r="A14" s="311" t="s">
        <v>2</v>
      </c>
      <c r="B14" s="252" t="s">
        <v>376</v>
      </c>
      <c r="C14" s="256" t="s">
        <v>402</v>
      </c>
    </row>
    <row r="15" spans="1:5" ht="31.5" x14ac:dyDescent="0.2">
      <c r="A15" s="311" t="s">
        <v>3</v>
      </c>
      <c r="B15" s="252" t="s">
        <v>691</v>
      </c>
      <c r="C15" s="256" t="s">
        <v>402</v>
      </c>
    </row>
    <row r="16" spans="1:5" ht="34.5" customHeight="1" x14ac:dyDescent="0.2">
      <c r="A16" s="311" t="s">
        <v>4</v>
      </c>
      <c r="B16" s="252" t="s">
        <v>83</v>
      </c>
      <c r="C16" s="256" t="s">
        <v>402</v>
      </c>
      <c r="E16" s="237"/>
    </row>
    <row r="17" spans="1:4" ht="15.75" x14ac:dyDescent="0.2">
      <c r="A17" s="311" t="s">
        <v>5</v>
      </c>
      <c r="B17" s="252" t="s">
        <v>84</v>
      </c>
      <c r="C17" s="256" t="s">
        <v>402</v>
      </c>
    </row>
    <row r="18" spans="1:4" ht="15.75" x14ac:dyDescent="0.2">
      <c r="A18" s="311" t="s">
        <v>70</v>
      </c>
      <c r="B18" s="252" t="s">
        <v>85</v>
      </c>
      <c r="C18" s="257"/>
    </row>
    <row r="19" spans="1:4" ht="31.5" x14ac:dyDescent="0.2">
      <c r="A19" s="311" t="s">
        <v>6</v>
      </c>
      <c r="B19" s="252" t="s">
        <v>86</v>
      </c>
      <c r="C19" s="256" t="s">
        <v>402</v>
      </c>
    </row>
    <row r="20" spans="1:4" ht="15.75" x14ac:dyDescent="0.2">
      <c r="A20" s="276" t="s">
        <v>7</v>
      </c>
      <c r="B20" s="358" t="s">
        <v>692</v>
      </c>
      <c r="C20" s="257" t="s">
        <v>1049</v>
      </c>
    </row>
    <row r="21" spans="1:4" ht="15.75" x14ac:dyDescent="0.2">
      <c r="A21" s="417" t="s">
        <v>8</v>
      </c>
      <c r="B21" s="418" t="s">
        <v>693</v>
      </c>
      <c r="C21" s="419" t="s">
        <v>1176</v>
      </c>
    </row>
    <row r="22" spans="1:4" ht="31.5" x14ac:dyDescent="0.2">
      <c r="A22" s="311" t="s">
        <v>9</v>
      </c>
      <c r="B22" s="252" t="s">
        <v>694</v>
      </c>
      <c r="C22" s="256" t="s">
        <v>402</v>
      </c>
      <c r="D22" s="181"/>
    </row>
    <row r="23" spans="1:4" ht="36.75" customHeight="1" x14ac:dyDescent="0.2">
      <c r="A23" s="311" t="s">
        <v>537</v>
      </c>
      <c r="B23" s="252" t="s">
        <v>965</v>
      </c>
      <c r="C23" s="257" t="s">
        <v>1069</v>
      </c>
      <c r="D23" s="181"/>
    </row>
    <row r="24" spans="1:4" ht="39" customHeight="1" x14ac:dyDescent="0.2">
      <c r="A24" s="311" t="s">
        <v>538</v>
      </c>
      <c r="B24" s="252" t="s">
        <v>966</v>
      </c>
      <c r="C24" s="257" t="s">
        <v>1070</v>
      </c>
      <c r="D24" s="181"/>
    </row>
    <row r="25" spans="1:4" x14ac:dyDescent="0.2">
      <c r="D25" s="181"/>
    </row>
    <row r="26" spans="1:4" x14ac:dyDescent="0.2">
      <c r="D26" s="181"/>
    </row>
  </sheetData>
  <mergeCells count="2">
    <mergeCell ref="A2:B2"/>
    <mergeCell ref="A1:C1"/>
  </mergeCells>
  <phoneticPr fontId="8"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D22"/>
  <sheetViews>
    <sheetView zoomScaleNormal="100" workbookViewId="0">
      <pane xSplit="2" ySplit="4" topLeftCell="C10" activePane="bottomRight" state="frozen"/>
      <selection pane="topRight" activeCell="C1" sqref="C1"/>
      <selection pane="bottomLeft" activeCell="A5" sqref="A5"/>
      <selection pane="bottomRight" activeCell="D25" sqref="D25"/>
    </sheetView>
  </sheetViews>
  <sheetFormatPr defaultColWidth="9.140625" defaultRowHeight="15.75" x14ac:dyDescent="0.2"/>
  <cols>
    <col min="1" max="1" width="10.5703125" style="12" customWidth="1"/>
    <col min="2" max="2" width="43.140625" style="62" customWidth="1"/>
    <col min="3" max="3" width="28.42578125" style="11" customWidth="1"/>
    <col min="4" max="4" width="52.7109375" style="11" customWidth="1"/>
    <col min="5" max="16384" width="9.140625" style="11"/>
  </cols>
  <sheetData>
    <row r="1" spans="1:4" ht="50.1" customHeight="1" thickBot="1" x14ac:dyDescent="0.25">
      <c r="A1" s="894" t="s">
        <v>1008</v>
      </c>
      <c r="B1" s="895"/>
      <c r="C1" s="895"/>
      <c r="D1" s="896"/>
    </row>
    <row r="2" spans="1:4" ht="35.1" customHeight="1" x14ac:dyDescent="0.2">
      <c r="A2" s="873" t="s">
        <v>1325</v>
      </c>
      <c r="B2" s="874"/>
      <c r="C2" s="874"/>
      <c r="D2" s="875"/>
    </row>
    <row r="3" spans="1:4" ht="31.5" x14ac:dyDescent="0.2">
      <c r="A3" s="97" t="s">
        <v>208</v>
      </c>
      <c r="B3" s="85" t="s">
        <v>299</v>
      </c>
      <c r="C3" s="85" t="s">
        <v>1009</v>
      </c>
      <c r="D3" s="35" t="s">
        <v>777</v>
      </c>
    </row>
    <row r="4" spans="1:4" s="13" customFormat="1" ht="18" customHeight="1" x14ac:dyDescent="0.2">
      <c r="A4" s="93"/>
      <c r="B4" s="96" t="s">
        <v>289</v>
      </c>
      <c r="C4" s="76" t="s">
        <v>290</v>
      </c>
      <c r="D4" s="77" t="s">
        <v>291</v>
      </c>
    </row>
    <row r="5" spans="1:4" s="13" customFormat="1" ht="31.5" x14ac:dyDescent="0.2">
      <c r="A5" s="93">
        <v>1</v>
      </c>
      <c r="B5" s="60" t="s">
        <v>26</v>
      </c>
      <c r="C5" s="439">
        <f>SUM(C6:C19)</f>
        <v>29826507.219999995</v>
      </c>
      <c r="D5" s="59"/>
    </row>
    <row r="6" spans="1:4" x14ac:dyDescent="0.2">
      <c r="A6" s="93">
        <v>2</v>
      </c>
      <c r="B6" s="53" t="s">
        <v>194</v>
      </c>
      <c r="C6" s="561">
        <v>0</v>
      </c>
      <c r="D6" s="112"/>
    </row>
    <row r="7" spans="1:4" x14ac:dyDescent="0.2">
      <c r="A7" s="93">
        <v>3</v>
      </c>
      <c r="B7" s="53" t="s">
        <v>195</v>
      </c>
      <c r="C7" s="561">
        <v>12650658.789999999</v>
      </c>
      <c r="D7" s="131" t="s">
        <v>1205</v>
      </c>
    </row>
    <row r="8" spans="1:4" x14ac:dyDescent="0.2">
      <c r="A8" s="93">
        <v>4</v>
      </c>
      <c r="B8" s="99" t="s">
        <v>196</v>
      </c>
      <c r="C8" s="561">
        <v>0</v>
      </c>
      <c r="D8" s="112"/>
    </row>
    <row r="9" spans="1:4" ht="31.5" x14ac:dyDescent="0.2">
      <c r="A9" s="93">
        <v>5</v>
      </c>
      <c r="B9" s="99" t="s">
        <v>168</v>
      </c>
      <c r="C9" s="561">
        <v>7914694.2599999998</v>
      </c>
      <c r="D9" s="112" t="s">
        <v>1206</v>
      </c>
    </row>
    <row r="10" spans="1:4" x14ac:dyDescent="0.2">
      <c r="A10" s="93">
        <v>6</v>
      </c>
      <c r="B10" s="99" t="s">
        <v>279</v>
      </c>
      <c r="C10" s="561">
        <v>1184594.97</v>
      </c>
      <c r="D10" s="112" t="s">
        <v>1207</v>
      </c>
    </row>
    <row r="11" spans="1:4" x14ac:dyDescent="0.2">
      <c r="A11" s="93">
        <v>7</v>
      </c>
      <c r="B11" s="99" t="s">
        <v>280</v>
      </c>
      <c r="C11" s="561">
        <v>173836.49</v>
      </c>
      <c r="D11" s="112" t="s">
        <v>1207</v>
      </c>
    </row>
    <row r="12" spans="1:4" ht="31.5" x14ac:dyDescent="0.2">
      <c r="A12" s="93">
        <v>8</v>
      </c>
      <c r="B12" s="99" t="s">
        <v>400</v>
      </c>
      <c r="C12" s="561">
        <v>524083.98</v>
      </c>
      <c r="D12" s="112" t="s">
        <v>1208</v>
      </c>
    </row>
    <row r="13" spans="1:4" x14ac:dyDescent="0.2">
      <c r="A13" s="93">
        <v>9</v>
      </c>
      <c r="B13" s="99" t="s">
        <v>169</v>
      </c>
      <c r="C13" s="561">
        <v>0</v>
      </c>
      <c r="D13" s="112"/>
    </row>
    <row r="14" spans="1:4" x14ac:dyDescent="0.2">
      <c r="A14" s="93">
        <v>10</v>
      </c>
      <c r="B14" s="99" t="s">
        <v>170</v>
      </c>
      <c r="C14" s="561">
        <v>0</v>
      </c>
      <c r="D14" s="112"/>
    </row>
    <row r="15" spans="1:4" ht="75" x14ac:dyDescent="0.2">
      <c r="A15" s="93">
        <v>11</v>
      </c>
      <c r="B15" s="99" t="s">
        <v>171</v>
      </c>
      <c r="C15" s="561">
        <v>4836178.38</v>
      </c>
      <c r="D15" s="131" t="s">
        <v>1209</v>
      </c>
    </row>
    <row r="16" spans="1:4" x14ac:dyDescent="0.2">
      <c r="A16" s="93">
        <v>12</v>
      </c>
      <c r="B16" s="99" t="s">
        <v>172</v>
      </c>
      <c r="C16" s="561">
        <v>118053.24</v>
      </c>
      <c r="D16" s="131"/>
    </row>
    <row r="17" spans="1:4" x14ac:dyDescent="0.2">
      <c r="A17" s="93">
        <v>13</v>
      </c>
      <c r="B17" s="99" t="s">
        <v>173</v>
      </c>
      <c r="C17" s="561">
        <v>790084.26</v>
      </c>
      <c r="D17" s="112" t="s">
        <v>1210</v>
      </c>
    </row>
    <row r="18" spans="1:4" x14ac:dyDescent="0.2">
      <c r="A18" s="93">
        <v>14</v>
      </c>
      <c r="B18" s="99" t="s">
        <v>174</v>
      </c>
      <c r="C18" s="561">
        <v>282921.09999999998</v>
      </c>
      <c r="D18" s="112" t="s">
        <v>1211</v>
      </c>
    </row>
    <row r="19" spans="1:4" ht="31.5" x14ac:dyDescent="0.2">
      <c r="A19" s="93">
        <v>15</v>
      </c>
      <c r="B19" s="99" t="s">
        <v>179</v>
      </c>
      <c r="C19" s="561">
        <v>1351401.75</v>
      </c>
      <c r="D19" s="112" t="s">
        <v>1212</v>
      </c>
    </row>
    <row r="20" spans="1:4" x14ac:dyDescent="0.2">
      <c r="A20" s="93">
        <v>16</v>
      </c>
      <c r="B20" s="60" t="s">
        <v>313</v>
      </c>
      <c r="C20" s="561"/>
      <c r="D20" s="112"/>
    </row>
    <row r="21" spans="1:4" x14ac:dyDescent="0.2">
      <c r="A21" s="93">
        <v>17</v>
      </c>
      <c r="B21" s="98" t="s">
        <v>727</v>
      </c>
      <c r="C21" s="779"/>
      <c r="D21" s="132"/>
    </row>
    <row r="22" spans="1:4" ht="32.25" thickBot="1" x14ac:dyDescent="0.25">
      <c r="A22" s="94">
        <v>18</v>
      </c>
      <c r="B22" s="73" t="s">
        <v>56</v>
      </c>
      <c r="C22" s="397">
        <f>+C5+C20+C21</f>
        <v>29826507.219999995</v>
      </c>
      <c r="D22" s="69"/>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9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2"/>
  <sheetViews>
    <sheetView zoomScale="85" zoomScaleNormal="85" workbookViewId="0">
      <pane xSplit="2" ySplit="5" topLeftCell="C6" activePane="bottomRight" state="frozen"/>
      <selection pane="topRight" activeCell="C1" sqref="C1"/>
      <selection pane="bottomLeft" activeCell="A6" sqref="A6"/>
      <selection pane="bottomRight" activeCell="B17" sqref="B17:M150"/>
    </sheetView>
  </sheetViews>
  <sheetFormatPr defaultColWidth="9.140625" defaultRowHeight="15.75" x14ac:dyDescent="0.2"/>
  <cols>
    <col min="1" max="1" width="7.7109375" style="20" customWidth="1"/>
    <col min="2" max="2" width="47.5703125" style="21" customWidth="1"/>
    <col min="3" max="3" width="17.85546875" style="22" customWidth="1"/>
    <col min="4" max="4" width="16.85546875" style="22" customWidth="1"/>
    <col min="5" max="5" width="17.140625" style="22" customWidth="1"/>
    <col min="6" max="6" width="18.140625" style="22" customWidth="1"/>
    <col min="7" max="7" width="17.42578125" style="22" customWidth="1"/>
    <col min="8" max="8" width="17" style="22" customWidth="1"/>
    <col min="9" max="9" width="9.140625" style="22"/>
    <col min="10" max="10" width="13.85546875" style="22" bestFit="1" customWidth="1"/>
    <col min="11" max="16384" width="9.140625" style="22"/>
  </cols>
  <sheetData>
    <row r="1" spans="1:9" s="26" customFormat="1" ht="70.5" customHeight="1" thickBot="1" x14ac:dyDescent="0.25">
      <c r="A1" s="1040" t="s">
        <v>1010</v>
      </c>
      <c r="B1" s="1041"/>
      <c r="C1" s="1041"/>
      <c r="D1" s="1041"/>
      <c r="E1" s="1041"/>
      <c r="F1" s="1041"/>
      <c r="G1" s="1041"/>
      <c r="H1" s="1042"/>
      <c r="I1" s="242"/>
    </row>
    <row r="2" spans="1:9" s="26" customFormat="1" ht="35.1" customHeight="1" x14ac:dyDescent="0.2">
      <c r="A2" s="901" t="s">
        <v>1321</v>
      </c>
      <c r="B2" s="902"/>
      <c r="C2" s="902"/>
      <c r="D2" s="902"/>
      <c r="E2" s="902"/>
      <c r="F2" s="902"/>
      <c r="G2" s="902"/>
      <c r="H2" s="903"/>
    </row>
    <row r="3" spans="1:9" ht="27" customHeight="1" x14ac:dyDescent="0.2">
      <c r="A3" s="965" t="s">
        <v>208</v>
      </c>
      <c r="B3" s="890" t="s">
        <v>335</v>
      </c>
      <c r="C3" s="912" t="s">
        <v>307</v>
      </c>
      <c r="D3" s="912"/>
      <c r="E3" s="912" t="s">
        <v>308</v>
      </c>
      <c r="F3" s="912"/>
      <c r="G3" s="1043" t="s">
        <v>230</v>
      </c>
      <c r="H3" s="1044"/>
    </row>
    <row r="4" spans="1:9" ht="33" customHeight="1" x14ac:dyDescent="0.2">
      <c r="A4" s="888"/>
      <c r="B4" s="922"/>
      <c r="C4" s="14" t="s">
        <v>75</v>
      </c>
      <c r="D4" s="14" t="s">
        <v>197</v>
      </c>
      <c r="E4" s="14" t="s">
        <v>75</v>
      </c>
      <c r="F4" s="14" t="s">
        <v>197</v>
      </c>
      <c r="G4" s="14" t="s">
        <v>75</v>
      </c>
      <c r="H4" s="29" t="s">
        <v>197</v>
      </c>
    </row>
    <row r="5" spans="1:9" ht="21.6" customHeight="1" x14ac:dyDescent="0.2">
      <c r="A5" s="30"/>
      <c r="B5" s="17"/>
      <c r="C5" s="44" t="s">
        <v>289</v>
      </c>
      <c r="D5" s="44" t="s">
        <v>290</v>
      </c>
      <c r="E5" s="44" t="s">
        <v>291</v>
      </c>
      <c r="F5" s="44" t="s">
        <v>298</v>
      </c>
      <c r="G5" s="44" t="s">
        <v>33</v>
      </c>
      <c r="H5" s="243" t="s">
        <v>34</v>
      </c>
    </row>
    <row r="6" spans="1:9" ht="19.5" customHeight="1" x14ac:dyDescent="0.2">
      <c r="A6" s="244">
        <v>1</v>
      </c>
      <c r="B6" s="191" t="s">
        <v>893</v>
      </c>
      <c r="C6" s="726">
        <f>C7</f>
        <v>1901458.23</v>
      </c>
      <c r="D6" s="726">
        <f>D8</f>
        <v>238910.71</v>
      </c>
      <c r="E6" s="726">
        <f>E7</f>
        <v>1094371.55</v>
      </c>
      <c r="F6" s="726">
        <f>F8</f>
        <v>137037.23000000001</v>
      </c>
      <c r="G6" s="726">
        <f>C6+E6</f>
        <v>2995829.7800000003</v>
      </c>
      <c r="H6" s="727">
        <f>D6+F6</f>
        <v>375947.94</v>
      </c>
    </row>
    <row r="7" spans="1:9" ht="19.5" customHeight="1" x14ac:dyDescent="0.2">
      <c r="A7" s="244">
        <v>2</v>
      </c>
      <c r="B7" s="265" t="s">
        <v>894</v>
      </c>
      <c r="C7" s="728">
        <v>1901458.23</v>
      </c>
      <c r="D7" s="729" t="s">
        <v>799</v>
      </c>
      <c r="E7" s="728">
        <v>1094371.55</v>
      </c>
      <c r="F7" s="729" t="s">
        <v>799</v>
      </c>
      <c r="G7" s="726">
        <f t="shared" ref="G7:G16" si="0">C7+E7</f>
        <v>2995829.7800000003</v>
      </c>
      <c r="H7" s="730" t="s">
        <v>799</v>
      </c>
    </row>
    <row r="8" spans="1:9" ht="19.5" customHeight="1" x14ac:dyDescent="0.2">
      <c r="A8" s="244">
        <f t="shared" ref="A8:A14" si="1">A7+1</f>
        <v>3</v>
      </c>
      <c r="B8" s="265" t="s">
        <v>895</v>
      </c>
      <c r="C8" s="729" t="s">
        <v>799</v>
      </c>
      <c r="D8" s="728">
        <v>238910.71</v>
      </c>
      <c r="E8" s="729" t="s">
        <v>799</v>
      </c>
      <c r="F8" s="728">
        <v>137037.23000000001</v>
      </c>
      <c r="G8" s="731" t="s">
        <v>799</v>
      </c>
      <c r="H8" s="727">
        <f t="shared" ref="H8:H16" si="2">D8+F8</f>
        <v>375947.94</v>
      </c>
    </row>
    <row r="9" spans="1:9" ht="19.5" customHeight="1" x14ac:dyDescent="0.2">
      <c r="A9" s="244">
        <f t="shared" si="1"/>
        <v>4</v>
      </c>
      <c r="B9" s="191" t="s">
        <v>896</v>
      </c>
      <c r="C9" s="726">
        <f>SUM(C10:C11)</f>
        <v>0</v>
      </c>
      <c r="D9" s="726">
        <f>SUM(D10:D11)</f>
        <v>0</v>
      </c>
      <c r="E9" s="726">
        <f>SUM(E10:E11)</f>
        <v>0</v>
      </c>
      <c r="F9" s="726">
        <f>SUM(F10:F11)</f>
        <v>0</v>
      </c>
      <c r="G9" s="726">
        <f t="shared" si="0"/>
        <v>0</v>
      </c>
      <c r="H9" s="727">
        <f t="shared" si="2"/>
        <v>0</v>
      </c>
    </row>
    <row r="10" spans="1:9" ht="19.5" customHeight="1" x14ac:dyDescent="0.2">
      <c r="A10" s="244">
        <f t="shared" si="1"/>
        <v>5</v>
      </c>
      <c r="B10" s="265" t="s">
        <v>897</v>
      </c>
      <c r="C10" s="728">
        <v>0</v>
      </c>
      <c r="D10" s="729" t="s">
        <v>799</v>
      </c>
      <c r="E10" s="728">
        <v>0</v>
      </c>
      <c r="F10" s="729" t="s">
        <v>799</v>
      </c>
      <c r="G10" s="726">
        <f t="shared" si="0"/>
        <v>0</v>
      </c>
      <c r="H10" s="730" t="s">
        <v>799</v>
      </c>
    </row>
    <row r="11" spans="1:9" ht="19.5" customHeight="1" x14ac:dyDescent="0.2">
      <c r="A11" s="244">
        <f t="shared" si="1"/>
        <v>6</v>
      </c>
      <c r="B11" s="265" t="s">
        <v>898</v>
      </c>
      <c r="C11" s="729" t="s">
        <v>799</v>
      </c>
      <c r="D11" s="728">
        <v>0</v>
      </c>
      <c r="E11" s="729" t="s">
        <v>799</v>
      </c>
      <c r="F11" s="728">
        <v>0</v>
      </c>
      <c r="G11" s="731" t="s">
        <v>799</v>
      </c>
      <c r="H11" s="727">
        <f t="shared" si="2"/>
        <v>0</v>
      </c>
    </row>
    <row r="12" spans="1:9" ht="31.5" x14ac:dyDescent="0.2">
      <c r="A12" s="244">
        <f t="shared" si="1"/>
        <v>7</v>
      </c>
      <c r="B12" s="191" t="s">
        <v>803</v>
      </c>
      <c r="C12" s="726">
        <f t="shared" ref="C12:H12" si="3">C6+C9</f>
        <v>1901458.23</v>
      </c>
      <c r="D12" s="726">
        <f t="shared" si="3"/>
        <v>238910.71</v>
      </c>
      <c r="E12" s="726">
        <f t="shared" si="3"/>
        <v>1094371.55</v>
      </c>
      <c r="F12" s="726">
        <f t="shared" si="3"/>
        <v>137037.23000000001</v>
      </c>
      <c r="G12" s="726">
        <f t="shared" si="3"/>
        <v>2995829.7800000003</v>
      </c>
      <c r="H12" s="727">
        <f t="shared" si="3"/>
        <v>375947.94</v>
      </c>
      <c r="I12" s="261"/>
    </row>
    <row r="13" spans="1:9" ht="26.25" customHeight="1" x14ac:dyDescent="0.2">
      <c r="A13" s="244">
        <f t="shared" si="1"/>
        <v>8</v>
      </c>
      <c r="B13" s="191" t="s">
        <v>805</v>
      </c>
      <c r="C13" s="726">
        <f>SUM(C14:C15)</f>
        <v>53086.49</v>
      </c>
      <c r="D13" s="726">
        <f>SUM(D14:D15)</f>
        <v>9352.1200000000008</v>
      </c>
      <c r="E13" s="726">
        <f>SUM(E14:E15)</f>
        <v>205111.5</v>
      </c>
      <c r="F13" s="726">
        <f>SUM(F14:F15)</f>
        <v>28481.15</v>
      </c>
      <c r="G13" s="726">
        <f t="shared" si="0"/>
        <v>258197.99</v>
      </c>
      <c r="H13" s="727">
        <f t="shared" si="2"/>
        <v>37833.270000000004</v>
      </c>
    </row>
    <row r="14" spans="1:9" ht="24" customHeight="1" x14ac:dyDescent="0.2">
      <c r="A14" s="244">
        <f t="shared" si="1"/>
        <v>9</v>
      </c>
      <c r="B14" s="192"/>
      <c r="C14" s="732">
        <v>53086.49</v>
      </c>
      <c r="D14" s="732"/>
      <c r="E14" s="732">
        <v>205111.5</v>
      </c>
      <c r="F14" s="732"/>
      <c r="G14" s="726">
        <f t="shared" si="0"/>
        <v>258197.99</v>
      </c>
      <c r="H14" s="727">
        <f t="shared" si="2"/>
        <v>0</v>
      </c>
    </row>
    <row r="15" spans="1:9" ht="24.75" customHeight="1" x14ac:dyDescent="0.2">
      <c r="A15" s="244" t="s">
        <v>804</v>
      </c>
      <c r="B15" s="193"/>
      <c r="C15" s="732"/>
      <c r="D15" s="732">
        <v>9352.1200000000008</v>
      </c>
      <c r="E15" s="732"/>
      <c r="F15" s="732">
        <v>28481.15</v>
      </c>
      <c r="G15" s="726">
        <f t="shared" si="0"/>
        <v>0</v>
      </c>
      <c r="H15" s="727">
        <f t="shared" si="2"/>
        <v>37833.270000000004</v>
      </c>
    </row>
    <row r="16" spans="1:9" ht="23.25" customHeight="1" thickBot="1" x14ac:dyDescent="0.25">
      <c r="A16" s="245">
        <v>10</v>
      </c>
      <c r="B16" s="264" t="s">
        <v>806</v>
      </c>
      <c r="C16" s="733">
        <f>C12+C13</f>
        <v>1954544.72</v>
      </c>
      <c r="D16" s="733">
        <f>D12+D13</f>
        <v>248262.83</v>
      </c>
      <c r="E16" s="733">
        <f>E12+E13</f>
        <v>1299483.05</v>
      </c>
      <c r="F16" s="733">
        <f>F12+F13</f>
        <v>165518.38</v>
      </c>
      <c r="G16" s="734">
        <f t="shared" si="0"/>
        <v>3254027.77</v>
      </c>
      <c r="H16" s="735">
        <f t="shared" si="2"/>
        <v>413781.20999999996</v>
      </c>
    </row>
    <row r="17" spans="3:10" x14ac:dyDescent="0.2">
      <c r="D17" s="498"/>
      <c r="E17" s="498"/>
      <c r="F17" s="498"/>
      <c r="G17" s="498"/>
      <c r="H17" s="498"/>
    </row>
    <row r="18" spans="3:10" x14ac:dyDescent="0.2">
      <c r="C18" s="498"/>
      <c r="D18" s="498"/>
      <c r="E18" s="499"/>
      <c r="F18" s="498"/>
      <c r="G18" s="499"/>
      <c r="H18" s="500"/>
      <c r="I18" s="498"/>
      <c r="J18" s="498"/>
    </row>
    <row r="19" spans="3:10" x14ac:dyDescent="0.2">
      <c r="C19" s="499"/>
      <c r="D19" s="498"/>
      <c r="E19" s="499"/>
      <c r="F19" s="498"/>
      <c r="G19" s="499"/>
      <c r="H19" s="498"/>
      <c r="I19" s="501"/>
      <c r="J19" s="498"/>
    </row>
    <row r="20" spans="3:10" x14ac:dyDescent="0.2">
      <c r="C20" s="498"/>
      <c r="D20" s="498"/>
      <c r="E20" s="498"/>
      <c r="F20" s="498"/>
      <c r="G20" s="498"/>
      <c r="H20" s="498"/>
      <c r="I20" s="498"/>
      <c r="J20" s="498"/>
    </row>
    <row r="28" spans="3:10" x14ac:dyDescent="0.2">
      <c r="C28" s="498"/>
      <c r="D28" s="498"/>
      <c r="E28" s="498"/>
      <c r="F28" s="498"/>
    </row>
    <row r="29" spans="3:10" x14ac:dyDescent="0.2">
      <c r="C29" s="498"/>
      <c r="D29" s="498"/>
      <c r="E29" s="498"/>
      <c r="F29" s="498"/>
      <c r="G29" s="498"/>
    </row>
    <row r="30" spans="3:10" x14ac:dyDescent="0.2">
      <c r="C30" s="498"/>
      <c r="D30" s="498"/>
      <c r="E30" s="498"/>
      <c r="F30" s="498"/>
      <c r="G30" s="498"/>
    </row>
    <row r="32" spans="3:10" ht="52.5" customHeight="1" x14ac:dyDescent="0.2">
      <c r="C32" s="1039"/>
      <c r="D32" s="1039"/>
      <c r="E32" s="1039"/>
      <c r="F32" s="1039"/>
      <c r="H32" s="1045"/>
      <c r="I32" s="1045"/>
    </row>
  </sheetData>
  <sheetProtection selectLockedCells="1"/>
  <mergeCells count="9">
    <mergeCell ref="C32:F32"/>
    <mergeCell ref="A1:H1"/>
    <mergeCell ref="A2:H2"/>
    <mergeCell ref="A3:A4"/>
    <mergeCell ref="B3:B4"/>
    <mergeCell ref="C3:D3"/>
    <mergeCell ref="E3:F3"/>
    <mergeCell ref="G3:H3"/>
    <mergeCell ref="H32:I32"/>
  </mergeCells>
  <printOptions gridLines="1"/>
  <pageMargins left="0.74803149606299213" right="0.74803149606299213" top="0.98425196850393704" bottom="0.88" header="0.51181102362204722" footer="0.51181102362204722"/>
  <pageSetup paperSize="9"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24"/>
  <sheetViews>
    <sheetView zoomScale="90" zoomScaleNormal="90" workbookViewId="0">
      <pane xSplit="2" ySplit="4" topLeftCell="E5" activePane="bottomRight" state="frozen"/>
      <selection pane="topRight" activeCell="C1" sqref="C1"/>
      <selection pane="bottomLeft" activeCell="A5" sqref="A5"/>
      <selection pane="bottomRight" activeCell="F12" sqref="F12:O18"/>
    </sheetView>
  </sheetViews>
  <sheetFormatPr defaultColWidth="9.140625" defaultRowHeight="15.75" x14ac:dyDescent="0.25"/>
  <cols>
    <col min="1" max="1" width="9.5703125" style="3" customWidth="1"/>
    <col min="2" max="2" width="58.42578125" style="1" customWidth="1"/>
    <col min="3" max="3" width="22.140625" style="19" customWidth="1"/>
    <col min="4" max="4" width="21.140625" style="19" customWidth="1"/>
    <col min="5" max="5" width="24.140625" style="19" customWidth="1"/>
    <col min="6" max="6" width="9.140625" style="1"/>
    <col min="7" max="7" width="12" style="1" customWidth="1"/>
    <col min="8" max="8" width="9.140625" style="1"/>
    <col min="9" max="9" width="11.28515625" style="434" bestFit="1" customWidth="1"/>
    <col min="10" max="16384" width="9.140625" style="1"/>
  </cols>
  <sheetData>
    <row r="1" spans="1:9" ht="80.25" customHeight="1" thickBot="1" x14ac:dyDescent="0.3">
      <c r="A1" s="1046" t="s">
        <v>1011</v>
      </c>
      <c r="B1" s="1047"/>
      <c r="C1" s="1047"/>
      <c r="D1" s="1047"/>
      <c r="E1" s="1048"/>
      <c r="F1" s="7"/>
      <c r="G1" s="7"/>
    </row>
    <row r="2" spans="1:9" ht="35.1" customHeight="1" x14ac:dyDescent="0.25">
      <c r="A2" s="873" t="s">
        <v>1321</v>
      </c>
      <c r="B2" s="874"/>
      <c r="C2" s="874"/>
      <c r="D2" s="874"/>
      <c r="E2" s="875"/>
      <c r="F2" s="7"/>
      <c r="G2" s="7"/>
    </row>
    <row r="3" spans="1:9" s="10" customFormat="1" ht="46.9" customHeight="1" x14ac:dyDescent="0.25">
      <c r="A3" s="429" t="s">
        <v>208</v>
      </c>
      <c r="B3" s="431" t="s">
        <v>335</v>
      </c>
      <c r="C3" s="431" t="s">
        <v>307</v>
      </c>
      <c r="D3" s="431" t="s">
        <v>308</v>
      </c>
      <c r="E3" s="433" t="s">
        <v>216</v>
      </c>
      <c r="I3" s="687"/>
    </row>
    <row r="4" spans="1:9" s="10" customFormat="1" ht="16.5" customHeight="1" x14ac:dyDescent="0.25">
      <c r="A4" s="429"/>
      <c r="B4" s="431"/>
      <c r="C4" s="431" t="s">
        <v>289</v>
      </c>
      <c r="D4" s="431" t="s">
        <v>290</v>
      </c>
      <c r="E4" s="433" t="s">
        <v>30</v>
      </c>
      <c r="I4" s="687"/>
    </row>
    <row r="5" spans="1:9" s="10" customFormat="1" ht="17.45" customHeight="1" x14ac:dyDescent="0.25">
      <c r="A5" s="429"/>
      <c r="B5" s="147" t="s">
        <v>377</v>
      </c>
      <c r="C5" s="58"/>
      <c r="D5" s="58"/>
      <c r="E5" s="121"/>
      <c r="I5" s="687"/>
    </row>
    <row r="6" spans="1:9" s="10" customFormat="1" ht="17.45" customHeight="1" x14ac:dyDescent="0.25">
      <c r="A6" s="120">
        <v>1</v>
      </c>
      <c r="B6" s="95" t="s">
        <v>407</v>
      </c>
      <c r="C6" s="505">
        <f>SUM(C7:C10)</f>
        <v>3607275</v>
      </c>
      <c r="D6" s="505">
        <f>SUM(D7:D10)</f>
        <v>0</v>
      </c>
      <c r="E6" s="506">
        <f>C6+D6</f>
        <v>3607275</v>
      </c>
      <c r="I6" s="687"/>
    </row>
    <row r="7" spans="1:9" s="19" customFormat="1" x14ac:dyDescent="0.2">
      <c r="A7" s="31">
        <f>A6+1</f>
        <v>2</v>
      </c>
      <c r="B7" s="117" t="s">
        <v>139</v>
      </c>
      <c r="C7" s="443">
        <v>3238275</v>
      </c>
      <c r="D7" s="561">
        <v>0</v>
      </c>
      <c r="E7" s="506">
        <f>C7+D7</f>
        <v>3238275</v>
      </c>
      <c r="I7" s="606"/>
    </row>
    <row r="8" spans="1:9" s="19" customFormat="1" x14ac:dyDescent="0.2">
      <c r="A8" s="31">
        <f>A7+1</f>
        <v>3</v>
      </c>
      <c r="B8" s="117" t="s">
        <v>404</v>
      </c>
      <c r="C8" s="443">
        <v>369000</v>
      </c>
      <c r="D8" s="443">
        <v>0</v>
      </c>
      <c r="E8" s="506">
        <f t="shared" ref="E8:E16" si="0">C8+D8</f>
        <v>369000</v>
      </c>
      <c r="G8" s="305"/>
      <c r="I8" s="606"/>
    </row>
    <row r="9" spans="1:9" s="19" customFormat="1" x14ac:dyDescent="0.2">
      <c r="A9" s="31">
        <f>A8+1</f>
        <v>4</v>
      </c>
      <c r="B9" s="117"/>
      <c r="C9" s="443"/>
      <c r="D9" s="443"/>
      <c r="E9" s="506"/>
      <c r="I9" s="606"/>
    </row>
    <row r="10" spans="1:9" s="19" customFormat="1" x14ac:dyDescent="0.2">
      <c r="A10" s="31">
        <f>A9+1</f>
        <v>5</v>
      </c>
      <c r="B10" s="117"/>
      <c r="C10" s="443"/>
      <c r="D10" s="443"/>
      <c r="E10" s="506">
        <f t="shared" si="0"/>
        <v>0</v>
      </c>
      <c r="I10" s="606"/>
    </row>
    <row r="11" spans="1:9" s="19" customFormat="1" x14ac:dyDescent="0.2">
      <c r="A11" s="43"/>
      <c r="B11" s="147" t="s">
        <v>726</v>
      </c>
      <c r="C11" s="670"/>
      <c r="D11" s="670"/>
      <c r="E11" s="780"/>
      <c r="I11" s="606"/>
    </row>
    <row r="12" spans="1:9" x14ac:dyDescent="0.25">
      <c r="A12" s="43">
        <v>6</v>
      </c>
      <c r="B12" s="117" t="s">
        <v>16</v>
      </c>
      <c r="C12" s="516">
        <f>7251.9+1964</f>
        <v>9215.9</v>
      </c>
      <c r="D12" s="516">
        <v>0</v>
      </c>
      <c r="E12" s="506">
        <f t="shared" si="0"/>
        <v>9215.9</v>
      </c>
      <c r="G12" s="684"/>
    </row>
    <row r="13" spans="1:9" x14ac:dyDescent="0.25">
      <c r="A13" s="43">
        <v>7</v>
      </c>
      <c r="B13" s="117" t="s">
        <v>17</v>
      </c>
      <c r="C13" s="443">
        <f>352720-1964</f>
        <v>350756</v>
      </c>
      <c r="D13" s="443">
        <v>0</v>
      </c>
      <c r="E13" s="506">
        <f t="shared" si="0"/>
        <v>350756</v>
      </c>
      <c r="G13" s="684"/>
    </row>
    <row r="14" spans="1:9" s="45" customFormat="1" x14ac:dyDescent="0.25">
      <c r="A14" s="43"/>
      <c r="B14" s="72"/>
      <c r="C14" s="690"/>
      <c r="D14" s="690"/>
      <c r="E14" s="780"/>
      <c r="G14" s="691"/>
      <c r="I14" s="688"/>
    </row>
    <row r="15" spans="1:9" x14ac:dyDescent="0.25">
      <c r="A15" s="43">
        <v>8</v>
      </c>
      <c r="B15" s="72" t="s">
        <v>408</v>
      </c>
      <c r="C15" s="781">
        <f>SUM(C16:C17)</f>
        <v>0</v>
      </c>
      <c r="D15" s="781">
        <f>SUM(D16:D17)</f>
        <v>0</v>
      </c>
      <c r="E15" s="506">
        <f t="shared" si="0"/>
        <v>0</v>
      </c>
    </row>
    <row r="16" spans="1:9" ht="31.5" x14ac:dyDescent="0.25">
      <c r="A16" s="43" t="s">
        <v>406</v>
      </c>
      <c r="B16" s="275" t="s">
        <v>832</v>
      </c>
      <c r="C16" s="516">
        <v>0</v>
      </c>
      <c r="D16" s="516">
        <v>0</v>
      </c>
      <c r="E16" s="506">
        <f t="shared" si="0"/>
        <v>0</v>
      </c>
      <c r="I16" s="689"/>
    </row>
    <row r="17" spans="1:5" x14ac:dyDescent="0.25">
      <c r="A17" s="43"/>
      <c r="B17" s="72"/>
      <c r="C17" s="690"/>
      <c r="D17" s="690"/>
      <c r="E17" s="780"/>
    </row>
    <row r="18" spans="1:5" ht="16.5" thickBot="1" x14ac:dyDescent="0.3">
      <c r="A18" s="124">
        <v>9</v>
      </c>
      <c r="B18" s="125" t="s">
        <v>695</v>
      </c>
      <c r="C18" s="397">
        <f>C6+C12+C13+C15</f>
        <v>3967246.9</v>
      </c>
      <c r="D18" s="397">
        <f>D6+D12+D13+D15</f>
        <v>0</v>
      </c>
      <c r="E18" s="449">
        <f>E6+E12+E13+E15</f>
        <v>3967246.9</v>
      </c>
    </row>
    <row r="19" spans="1:5" x14ac:dyDescent="0.25">
      <c r="E19" s="22"/>
    </row>
    <row r="21" spans="1:5" x14ac:dyDescent="0.25">
      <c r="B21" s="184"/>
      <c r="C21" s="3"/>
    </row>
    <row r="22" spans="1:5" x14ac:dyDescent="0.25">
      <c r="B22" s="3"/>
      <c r="C22" s="3"/>
    </row>
    <row r="23" spans="1:5" x14ac:dyDescent="0.25">
      <c r="B23" s="3"/>
      <c r="C23" s="3"/>
    </row>
    <row r="24" spans="1:5" x14ac:dyDescent="0.25">
      <c r="D24" s="305"/>
    </row>
  </sheetData>
  <protectedRanges>
    <protectedRange sqref="C8:D10" name="Rozsah2_1"/>
    <protectedRange sqref="C11:D11" name="Rozsah2_2"/>
  </protectedRanges>
  <mergeCells count="2">
    <mergeCell ref="A1:E1"/>
    <mergeCell ref="A2:E2"/>
  </mergeCells>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L34"/>
  <sheetViews>
    <sheetView zoomScale="80" zoomScaleNormal="80" workbookViewId="0">
      <pane xSplit="2" ySplit="5" topLeftCell="C18" activePane="bottomRight" state="frozen"/>
      <selection pane="topRight" activeCell="C1" sqref="C1"/>
      <selection pane="bottomLeft" activeCell="A6" sqref="A6"/>
      <selection pane="bottomRight" activeCell="C34" sqref="C34:F34"/>
    </sheetView>
  </sheetViews>
  <sheetFormatPr defaultColWidth="9.140625" defaultRowHeight="15.75" x14ac:dyDescent="0.2"/>
  <cols>
    <col min="1" max="1" width="9.140625" style="19"/>
    <col min="2" max="2" width="75.42578125" style="63" customWidth="1"/>
    <col min="3" max="6" width="17.28515625" style="19" customWidth="1"/>
    <col min="7" max="7" width="12.7109375" style="19" customWidth="1"/>
    <col min="8" max="8" width="9.140625" style="19"/>
    <col min="9" max="9" width="11" style="19" bestFit="1" customWidth="1"/>
    <col min="10" max="16384" width="9.140625" style="19"/>
  </cols>
  <sheetData>
    <row r="1" spans="1:12" ht="35.1" customHeight="1" thickBot="1" x14ac:dyDescent="0.25">
      <c r="A1" s="870" t="s">
        <v>1012</v>
      </c>
      <c r="B1" s="1056"/>
      <c r="C1" s="1056"/>
      <c r="D1" s="1056"/>
      <c r="E1" s="1056"/>
      <c r="F1" s="1057"/>
    </row>
    <row r="2" spans="1:12" ht="35.1" customHeight="1" x14ac:dyDescent="0.2">
      <c r="A2" s="901" t="s">
        <v>1326</v>
      </c>
      <c r="B2" s="961"/>
      <c r="C2" s="962" t="s">
        <v>916</v>
      </c>
      <c r="D2" s="962"/>
      <c r="E2" s="962"/>
      <c r="F2" s="963"/>
    </row>
    <row r="3" spans="1:12" ht="22.9" customHeight="1" x14ac:dyDescent="0.2">
      <c r="A3" s="888" t="s">
        <v>208</v>
      </c>
      <c r="B3" s="922" t="s">
        <v>335</v>
      </c>
      <c r="C3" s="918">
        <v>2015</v>
      </c>
      <c r="D3" s="918"/>
      <c r="E3" s="918">
        <v>2016</v>
      </c>
      <c r="F3" s="979"/>
    </row>
    <row r="4" spans="1:12" ht="75" customHeight="1" x14ac:dyDescent="0.2">
      <c r="A4" s="888"/>
      <c r="B4" s="922"/>
      <c r="C4" s="315" t="s">
        <v>38</v>
      </c>
      <c r="D4" s="315" t="s">
        <v>198</v>
      </c>
      <c r="E4" s="315" t="s">
        <v>38</v>
      </c>
      <c r="F4" s="317" t="s">
        <v>199</v>
      </c>
    </row>
    <row r="5" spans="1:12" x14ac:dyDescent="0.2">
      <c r="A5" s="31"/>
      <c r="B5" s="84"/>
      <c r="C5" s="41" t="s">
        <v>289</v>
      </c>
      <c r="D5" s="41" t="s">
        <v>290</v>
      </c>
      <c r="E5" s="41" t="s">
        <v>291</v>
      </c>
      <c r="F5" s="42" t="s">
        <v>298</v>
      </c>
    </row>
    <row r="6" spans="1:12" ht="31.5" x14ac:dyDescent="0.25">
      <c r="A6" s="31">
        <v>1</v>
      </c>
      <c r="B6" s="55" t="s">
        <v>950</v>
      </c>
      <c r="C6" s="439">
        <f>C7+C10+C16+C19+C13</f>
        <v>180220.46</v>
      </c>
      <c r="D6" s="119">
        <f t="shared" ref="D6:F6" si="0">D7+D10+D16+D19+D13</f>
        <v>882</v>
      </c>
      <c r="E6" s="439">
        <f>E7+E10+E16+E19+E13</f>
        <v>208549.27000000002</v>
      </c>
      <c r="F6" s="119">
        <f t="shared" si="0"/>
        <v>1009</v>
      </c>
      <c r="G6" s="354" t="s">
        <v>1309</v>
      </c>
      <c r="H6" s="805"/>
      <c r="I6" s="806"/>
      <c r="J6" s="803" t="s">
        <v>1306</v>
      </c>
      <c r="K6" s="804"/>
      <c r="L6" s="804"/>
    </row>
    <row r="7" spans="1:12" x14ac:dyDescent="0.2">
      <c r="A7" s="31">
        <v>2</v>
      </c>
      <c r="B7" s="55" t="s">
        <v>120</v>
      </c>
      <c r="C7" s="439">
        <f>SUM(C8:C9)</f>
        <v>38223.46</v>
      </c>
      <c r="D7" s="119">
        <f t="shared" ref="D7:F7" si="1">SUM(D8:D9)</f>
        <v>104</v>
      </c>
      <c r="E7" s="439">
        <f t="shared" si="1"/>
        <v>125041</v>
      </c>
      <c r="F7" s="119">
        <f t="shared" si="1"/>
        <v>641</v>
      </c>
      <c r="G7" s="354"/>
    </row>
    <row r="8" spans="1:12" x14ac:dyDescent="0.2">
      <c r="A8" s="31">
        <v>3</v>
      </c>
      <c r="B8" s="27" t="s">
        <v>57</v>
      </c>
      <c r="C8" s="443">
        <v>38223.46</v>
      </c>
      <c r="D8" s="134">
        <v>104</v>
      </c>
      <c r="E8" s="443">
        <f>127641-2600</f>
        <v>125041</v>
      </c>
      <c r="F8" s="139">
        <v>641</v>
      </c>
      <c r="G8" s="354"/>
    </row>
    <row r="9" spans="1:12" ht="18.75" x14ac:dyDescent="0.2">
      <c r="A9" s="31">
        <v>4</v>
      </c>
      <c r="B9" s="27" t="s">
        <v>142</v>
      </c>
      <c r="C9" s="443"/>
      <c r="D9" s="134"/>
      <c r="E9" s="443"/>
      <c r="F9" s="139"/>
      <c r="G9" s="354"/>
    </row>
    <row r="10" spans="1:12" ht="21" customHeight="1" x14ac:dyDescent="0.2">
      <c r="A10" s="31">
        <v>5</v>
      </c>
      <c r="B10" s="55" t="s">
        <v>945</v>
      </c>
      <c r="C10" s="439">
        <f>SUM(C11:C12)</f>
        <v>126310</v>
      </c>
      <c r="D10" s="119">
        <f t="shared" ref="D10:F10" si="2">SUM(D11:D12)</f>
        <v>631</v>
      </c>
      <c r="E10" s="439">
        <f t="shared" si="2"/>
        <v>46998.45</v>
      </c>
      <c r="F10" s="119">
        <f t="shared" si="2"/>
        <v>201</v>
      </c>
      <c r="G10" s="354"/>
    </row>
    <row r="11" spans="1:12" x14ac:dyDescent="0.2">
      <c r="A11" s="31">
        <v>6</v>
      </c>
      <c r="B11" s="27" t="s">
        <v>57</v>
      </c>
      <c r="C11" s="443">
        <v>125835</v>
      </c>
      <c r="D11" s="134">
        <v>630</v>
      </c>
      <c r="E11" s="443">
        <f>31838.45+15160</f>
        <v>46998.45</v>
      </c>
      <c r="F11" s="139">
        <f>98+103</f>
        <v>201</v>
      </c>
      <c r="G11" s="354"/>
    </row>
    <row r="12" spans="1:12" ht="18.75" x14ac:dyDescent="0.2">
      <c r="A12" s="31">
        <v>7</v>
      </c>
      <c r="B12" s="27" t="s">
        <v>142</v>
      </c>
      <c r="C12" s="443">
        <v>475</v>
      </c>
      <c r="D12" s="134">
        <v>1</v>
      </c>
      <c r="E12" s="443"/>
      <c r="F12" s="139"/>
      <c r="G12" s="354"/>
    </row>
    <row r="13" spans="1:12" x14ac:dyDescent="0.2">
      <c r="A13" s="31">
        <v>8</v>
      </c>
      <c r="B13" s="352" t="s">
        <v>947</v>
      </c>
      <c r="C13" s="439">
        <f>C14+C15</f>
        <v>0</v>
      </c>
      <c r="D13" s="119">
        <f t="shared" ref="D13:F13" si="3">D14+D15</f>
        <v>0</v>
      </c>
      <c r="E13" s="439">
        <f t="shared" si="3"/>
        <v>6955</v>
      </c>
      <c r="F13" s="119">
        <f t="shared" si="3"/>
        <v>87</v>
      </c>
      <c r="G13" s="354"/>
    </row>
    <row r="14" spans="1:12" x14ac:dyDescent="0.2">
      <c r="A14" s="31">
        <v>9</v>
      </c>
      <c r="B14" s="353" t="s">
        <v>57</v>
      </c>
      <c r="C14" s="443"/>
      <c r="D14" s="134"/>
      <c r="E14" s="443">
        <v>6955</v>
      </c>
      <c r="F14" s="139">
        <v>87</v>
      </c>
      <c r="G14" s="354"/>
    </row>
    <row r="15" spans="1:12" ht="18.75" x14ac:dyDescent="0.2">
      <c r="A15" s="31">
        <v>10</v>
      </c>
      <c r="B15" s="353" t="s">
        <v>946</v>
      </c>
      <c r="C15" s="443"/>
      <c r="D15" s="134"/>
      <c r="E15" s="443"/>
      <c r="F15" s="139"/>
      <c r="G15" s="354"/>
    </row>
    <row r="16" spans="1:12" x14ac:dyDescent="0.2">
      <c r="A16" s="31">
        <v>11</v>
      </c>
      <c r="B16" s="55" t="s">
        <v>948</v>
      </c>
      <c r="C16" s="439">
        <f>SUM(C17:C18)</f>
        <v>8700</v>
      </c>
      <c r="D16" s="119">
        <f t="shared" ref="D16:F16" si="4">SUM(D17:D18)</f>
        <v>109</v>
      </c>
      <c r="E16" s="439">
        <f t="shared" si="4"/>
        <v>1195</v>
      </c>
      <c r="F16" s="119">
        <f t="shared" si="4"/>
        <v>19</v>
      </c>
    </row>
    <row r="17" spans="1:6" x14ac:dyDescent="0.2">
      <c r="A17" s="31">
        <v>12</v>
      </c>
      <c r="B17" s="27" t="s">
        <v>57</v>
      </c>
      <c r="C17" s="443">
        <v>8700</v>
      </c>
      <c r="D17" s="134">
        <v>109</v>
      </c>
      <c r="E17" s="443">
        <v>1195</v>
      </c>
      <c r="F17" s="139">
        <v>19</v>
      </c>
    </row>
    <row r="18" spans="1:6" ht="18.75" x14ac:dyDescent="0.2">
      <c r="A18" s="31">
        <v>13</v>
      </c>
      <c r="B18" s="27" t="s">
        <v>142</v>
      </c>
      <c r="C18" s="443"/>
      <c r="D18" s="134"/>
      <c r="E18" s="443"/>
      <c r="F18" s="139"/>
    </row>
    <row r="19" spans="1:6" x14ac:dyDescent="0.2">
      <c r="A19" s="31">
        <v>14</v>
      </c>
      <c r="B19" s="55" t="s">
        <v>949</v>
      </c>
      <c r="C19" s="439">
        <f>SUM(C20:C21)</f>
        <v>6987</v>
      </c>
      <c r="D19" s="119">
        <f t="shared" ref="D19:F19" si="5">SUM(D20:D21)</f>
        <v>38</v>
      </c>
      <c r="E19" s="439">
        <f t="shared" si="5"/>
        <v>28359.82</v>
      </c>
      <c r="F19" s="119">
        <f t="shared" si="5"/>
        <v>61</v>
      </c>
    </row>
    <row r="20" spans="1:6" x14ac:dyDescent="0.2">
      <c r="A20" s="31">
        <v>15</v>
      </c>
      <c r="B20" s="27" t="s">
        <v>57</v>
      </c>
      <c r="C20" s="443">
        <v>6987</v>
      </c>
      <c r="D20" s="134">
        <v>38</v>
      </c>
      <c r="E20" s="443">
        <v>28359.82</v>
      </c>
      <c r="F20" s="139">
        <v>61</v>
      </c>
    </row>
    <row r="21" spans="1:6" ht="18.75" x14ac:dyDescent="0.2">
      <c r="A21" s="31">
        <v>16</v>
      </c>
      <c r="B21" s="105" t="s">
        <v>142</v>
      </c>
      <c r="C21" s="516"/>
      <c r="D21" s="140"/>
      <c r="E21" s="516"/>
      <c r="F21" s="141"/>
    </row>
    <row r="22" spans="1:6" ht="19.5" thickBot="1" x14ac:dyDescent="0.25">
      <c r="A22" s="31">
        <v>17</v>
      </c>
      <c r="B22" s="106" t="s">
        <v>787</v>
      </c>
      <c r="C22" s="142" t="s">
        <v>320</v>
      </c>
      <c r="D22" s="143"/>
      <c r="E22" s="142" t="s">
        <v>320</v>
      </c>
      <c r="F22" s="144"/>
    </row>
    <row r="23" spans="1:6" s="107" customFormat="1" x14ac:dyDescent="0.2">
      <c r="A23" s="336"/>
      <c r="B23" s="337"/>
      <c r="C23" s="338"/>
      <c r="D23" s="339"/>
      <c r="E23" s="338"/>
      <c r="F23" s="339"/>
    </row>
    <row r="24" spans="1:6" x14ac:dyDescent="0.2">
      <c r="A24" s="1050" t="s">
        <v>714</v>
      </c>
      <c r="B24" s="1051"/>
      <c r="C24" s="1051"/>
      <c r="D24" s="1051"/>
      <c r="E24" s="1051"/>
      <c r="F24" s="1052"/>
    </row>
    <row r="25" spans="1:6" x14ac:dyDescent="0.2">
      <c r="A25" s="1053" t="s">
        <v>715</v>
      </c>
      <c r="B25" s="1054"/>
      <c r="C25" s="1054"/>
      <c r="D25" s="1054"/>
      <c r="E25" s="1054"/>
      <c r="F25" s="1055"/>
    </row>
    <row r="26" spans="1:6" x14ac:dyDescent="0.2">
      <c r="A26" s="1049" t="s">
        <v>941</v>
      </c>
      <c r="B26" s="1049"/>
      <c r="C26" s="1049"/>
      <c r="D26" s="1049"/>
      <c r="E26" s="1049"/>
      <c r="F26" s="1049"/>
    </row>
    <row r="29" spans="1:6" x14ac:dyDescent="0.2">
      <c r="C29" s="605"/>
      <c r="D29" s="606"/>
      <c r="E29" s="606"/>
      <c r="F29" s="605"/>
    </row>
    <row r="32" spans="1:6" x14ac:dyDescent="0.2">
      <c r="F32" s="607"/>
    </row>
    <row r="33" spans="3:6" ht="16.5" thickBot="1" x14ac:dyDescent="0.25"/>
    <row r="34" spans="3:6" ht="74.25" customHeight="1" thickBot="1" x14ac:dyDescent="0.25">
      <c r="C34" s="813"/>
      <c r="D34" s="814"/>
      <c r="E34" s="815"/>
      <c r="F34" s="107"/>
    </row>
  </sheetData>
  <mergeCells count="10">
    <mergeCell ref="C2:F2"/>
    <mergeCell ref="A26:F26"/>
    <mergeCell ref="A24:F24"/>
    <mergeCell ref="A25:F25"/>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M16"/>
  <sheetViews>
    <sheetView zoomScale="90" zoomScaleNormal="90" workbookViewId="0">
      <pane xSplit="2" ySplit="5" topLeftCell="C6" activePane="bottomRight" state="frozen"/>
      <selection pane="topRight" activeCell="C1" sqref="C1"/>
      <selection pane="bottomLeft" activeCell="A5" sqref="A5"/>
      <selection pane="bottomRight" activeCell="I8" sqref="I8:J8"/>
    </sheetView>
  </sheetViews>
  <sheetFormatPr defaultColWidth="9.140625" defaultRowHeight="18.75" x14ac:dyDescent="0.25"/>
  <cols>
    <col min="1" max="1" width="9.140625" style="459"/>
    <col min="2" max="2" width="67.28515625" style="496" customWidth="1"/>
    <col min="3" max="3" width="21.28515625" style="496" bestFit="1" customWidth="1"/>
    <col min="4" max="4" width="21.5703125" style="497" customWidth="1"/>
    <col min="5" max="5" width="24.85546875" style="497" customWidth="1"/>
    <col min="6" max="6" width="26.42578125" style="459" customWidth="1"/>
    <col min="7" max="7" width="16.140625" style="459" customWidth="1"/>
    <col min="8" max="8" width="9.140625" style="459"/>
    <col min="9" max="9" width="12.42578125" style="459" bestFit="1" customWidth="1"/>
    <col min="10" max="10" width="20.7109375" style="459" customWidth="1"/>
    <col min="11" max="16384" width="9.140625" style="459"/>
  </cols>
  <sheetData>
    <row r="1" spans="1:13" ht="50.1" customHeight="1" thickBot="1" x14ac:dyDescent="0.3">
      <c r="A1" s="1058" t="s">
        <v>1192</v>
      </c>
      <c r="B1" s="1059"/>
      <c r="C1" s="1059"/>
      <c r="D1" s="1059"/>
      <c r="E1" s="1060"/>
      <c r="F1" s="1061"/>
    </row>
    <row r="2" spans="1:13" ht="35.1" customHeight="1" thickBot="1" x14ac:dyDescent="0.3">
      <c r="A2" s="1062" t="s">
        <v>1321</v>
      </c>
      <c r="B2" s="1063"/>
      <c r="C2" s="1063"/>
      <c r="D2" s="1063"/>
      <c r="E2" s="1064"/>
      <c r="F2" s="1065"/>
    </row>
    <row r="3" spans="1:13" ht="33" customHeight="1" x14ac:dyDescent="0.25">
      <c r="A3" s="460" t="s">
        <v>208</v>
      </c>
      <c r="B3" s="461" t="s">
        <v>335</v>
      </c>
      <c r="C3" s="1070">
        <v>2015</v>
      </c>
      <c r="D3" s="1070"/>
      <c r="E3" s="1066">
        <v>2016</v>
      </c>
      <c r="F3" s="1067"/>
    </row>
    <row r="4" spans="1:13" ht="71.25" customHeight="1" x14ac:dyDescent="0.25">
      <c r="A4" s="462"/>
      <c r="B4" s="463"/>
      <c r="C4" s="692" t="s">
        <v>1319</v>
      </c>
      <c r="D4" s="692" t="s">
        <v>1320</v>
      </c>
      <c r="E4" s="464" t="s">
        <v>1193</v>
      </c>
      <c r="F4" s="465" t="s">
        <v>1194</v>
      </c>
    </row>
    <row r="5" spans="1:13" ht="18.75" customHeight="1" x14ac:dyDescent="0.25">
      <c r="A5" s="462"/>
      <c r="B5" s="463"/>
      <c r="C5" s="466" t="s">
        <v>289</v>
      </c>
      <c r="D5" s="466" t="s">
        <v>290</v>
      </c>
      <c r="E5" s="467" t="s">
        <v>1195</v>
      </c>
      <c r="F5" s="468" t="s">
        <v>1196</v>
      </c>
    </row>
    <row r="6" spans="1:13" s="475" customFormat="1" ht="34.5" customHeight="1" x14ac:dyDescent="0.2">
      <c r="A6" s="469">
        <v>1</v>
      </c>
      <c r="B6" s="470" t="s">
        <v>793</v>
      </c>
      <c r="C6" s="610"/>
      <c r="D6" s="610">
        <v>108559.79</v>
      </c>
      <c r="E6" s="471" t="s">
        <v>320</v>
      </c>
      <c r="F6" s="472">
        <f>D9</f>
        <v>29483.650000000023</v>
      </c>
      <c r="G6" s="473"/>
      <c r="H6" s="474"/>
    </row>
    <row r="7" spans="1:13" ht="36" customHeight="1" x14ac:dyDescent="0.25">
      <c r="A7" s="476">
        <v>2</v>
      </c>
      <c r="B7" s="477" t="s">
        <v>1197</v>
      </c>
      <c r="C7" s="610">
        <v>1321049</v>
      </c>
      <c r="D7" s="610">
        <v>525000</v>
      </c>
      <c r="E7" s="478">
        <v>1405350</v>
      </c>
      <c r="F7" s="479">
        <v>595098</v>
      </c>
      <c r="G7" s="480"/>
    </row>
    <row r="8" spans="1:13" ht="35.25" customHeight="1" x14ac:dyDescent="0.25">
      <c r="A8" s="476">
        <v>3</v>
      </c>
      <c r="B8" s="477" t="s">
        <v>794</v>
      </c>
      <c r="C8" s="610">
        <v>1293113</v>
      </c>
      <c r="D8" s="610">
        <v>604076.14</v>
      </c>
      <c r="E8" s="478">
        <v>1376020</v>
      </c>
      <c r="F8" s="680">
        <v>608926.75</v>
      </c>
      <c r="G8" s="480"/>
      <c r="I8" s="851"/>
      <c r="J8" s="852"/>
    </row>
    <row r="9" spans="1:13" ht="39.75" customHeight="1" x14ac:dyDescent="0.25">
      <c r="A9" s="476">
        <v>4</v>
      </c>
      <c r="B9" s="477" t="s">
        <v>1198</v>
      </c>
      <c r="C9" s="482">
        <f>C6+C7-C8</f>
        <v>27936</v>
      </c>
      <c r="D9" s="482">
        <f>D6+D7-D8</f>
        <v>29483.650000000023</v>
      </c>
      <c r="E9" s="483">
        <f>E7-E8</f>
        <v>29330</v>
      </c>
      <c r="F9" s="484">
        <f>F6+F7-F8</f>
        <v>15654.900000000023</v>
      </c>
      <c r="G9" s="481"/>
      <c r="I9" s="1069"/>
      <c r="J9" s="1069"/>
      <c r="K9" s="1069"/>
      <c r="L9" s="1069"/>
      <c r="M9" s="1069"/>
    </row>
    <row r="10" spans="1:13" ht="36" customHeight="1" thickBot="1" x14ac:dyDescent="0.3">
      <c r="A10" s="485">
        <v>5</v>
      </c>
      <c r="B10" s="486" t="s">
        <v>1199</v>
      </c>
      <c r="C10" s="487">
        <v>3592</v>
      </c>
      <c r="D10" s="487">
        <v>1716</v>
      </c>
      <c r="E10" s="488">
        <v>3450</v>
      </c>
      <c r="F10" s="489">
        <v>1709</v>
      </c>
      <c r="G10" s="481"/>
      <c r="I10" s="1069"/>
      <c r="J10" s="1069"/>
      <c r="K10" s="1069"/>
      <c r="L10" s="1069"/>
      <c r="M10" s="1069"/>
    </row>
    <row r="11" spans="1:13" ht="21" customHeight="1" x14ac:dyDescent="0.25">
      <c r="A11" s="490"/>
      <c r="B11" s="491"/>
      <c r="C11" s="491"/>
      <c r="D11" s="459"/>
      <c r="E11" s="459"/>
      <c r="F11" s="481"/>
      <c r="G11" s="475"/>
    </row>
    <row r="12" spans="1:13" ht="21" customHeight="1" x14ac:dyDescent="0.25">
      <c r="A12" s="1068" t="s">
        <v>1178</v>
      </c>
      <c r="B12" s="1068"/>
      <c r="C12" s="1068"/>
      <c r="D12" s="1068"/>
      <c r="E12" s="1068"/>
      <c r="F12" s="1068"/>
    </row>
    <row r="13" spans="1:13" ht="18" x14ac:dyDescent="0.25">
      <c r="A13" s="492" t="s">
        <v>1179</v>
      </c>
      <c r="B13" s="493"/>
      <c r="C13" s="493"/>
      <c r="D13" s="494"/>
      <c r="E13" s="494"/>
      <c r="F13" s="495"/>
    </row>
    <row r="14" spans="1:13" ht="18" x14ac:dyDescent="0.25">
      <c r="A14" s="492" t="s">
        <v>1180</v>
      </c>
      <c r="B14" s="493"/>
      <c r="C14" s="493"/>
      <c r="D14" s="494"/>
      <c r="E14" s="494"/>
      <c r="F14" s="495"/>
    </row>
    <row r="16" spans="1:13" x14ac:dyDescent="0.25">
      <c r="D16" s="497" t="s">
        <v>161</v>
      </c>
    </row>
  </sheetData>
  <mergeCells count="6">
    <mergeCell ref="A1:F1"/>
    <mergeCell ref="A2:F2"/>
    <mergeCell ref="E3:F3"/>
    <mergeCell ref="A12:F12"/>
    <mergeCell ref="I9:M10"/>
    <mergeCell ref="C3:D3"/>
  </mergeCells>
  <printOptions horizontalCentered="1"/>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O69"/>
  <sheetViews>
    <sheetView zoomScale="90" zoomScaleNormal="90" workbookViewId="0">
      <pane xSplit="1" ySplit="5" topLeftCell="H6" activePane="bottomRight" state="frozen"/>
      <selection pane="topRight" activeCell="B1" sqref="B1"/>
      <selection pane="bottomLeft" activeCell="A6" sqref="A6"/>
      <selection pane="bottomRight" activeCell="M10" sqref="M10"/>
    </sheetView>
  </sheetViews>
  <sheetFormatPr defaultColWidth="9.140625" defaultRowHeight="15.75" x14ac:dyDescent="0.2"/>
  <cols>
    <col min="1" max="1" width="8.85546875" style="66" customWidth="1"/>
    <col min="2" max="2" width="20.5703125" style="66" customWidth="1"/>
    <col min="3" max="3" width="18.42578125" style="66" customWidth="1"/>
    <col min="4" max="4" width="15.85546875" style="66" customWidth="1"/>
    <col min="5" max="5" width="15.5703125" style="66" customWidth="1"/>
    <col min="6" max="6" width="23.42578125" style="66" customWidth="1"/>
    <col min="7" max="7" width="18.5703125" style="66" customWidth="1"/>
    <col min="8" max="8" width="20.42578125" style="66" customWidth="1"/>
    <col min="9" max="9" width="18" style="66" customWidth="1"/>
    <col min="10" max="10" width="17.42578125" style="66" customWidth="1"/>
    <col min="11" max="11" width="16.85546875" style="66" customWidth="1"/>
    <col min="12" max="12" width="14.42578125" style="66" customWidth="1"/>
    <col min="13" max="13" width="17.5703125" style="66" customWidth="1"/>
    <col min="14" max="16384" width="9.140625" style="66"/>
  </cols>
  <sheetData>
    <row r="1" spans="1:15" s="64" customFormat="1" ht="35.1" customHeight="1" thickBot="1" x14ac:dyDescent="0.25">
      <c r="A1" s="1071" t="s">
        <v>1013</v>
      </c>
      <c r="B1" s="1072"/>
      <c r="C1" s="1072"/>
      <c r="D1" s="1072"/>
      <c r="E1" s="1072"/>
      <c r="F1" s="1072"/>
      <c r="G1" s="1072"/>
      <c r="H1" s="1072"/>
      <c r="I1" s="1072"/>
      <c r="J1" s="1072"/>
      <c r="K1" s="1072"/>
      <c r="L1" s="1072"/>
      <c r="M1" s="1073"/>
    </row>
    <row r="2" spans="1:15" s="64" customFormat="1" ht="42.75" customHeight="1" x14ac:dyDescent="0.2">
      <c r="A2" s="901" t="s">
        <v>1323</v>
      </c>
      <c r="B2" s="902"/>
      <c r="C2" s="902"/>
      <c r="D2" s="902"/>
      <c r="E2" s="902"/>
      <c r="F2" s="902"/>
      <c r="G2" s="902"/>
      <c r="H2" s="902"/>
      <c r="I2" s="902"/>
      <c r="J2" s="902"/>
      <c r="K2" s="902"/>
      <c r="L2" s="902"/>
      <c r="M2" s="903"/>
    </row>
    <row r="3" spans="1:15" s="64" customFormat="1" ht="45.75" customHeight="1" x14ac:dyDescent="0.2">
      <c r="A3" s="1074" t="s">
        <v>208</v>
      </c>
      <c r="B3" s="1076" t="s">
        <v>1014</v>
      </c>
      <c r="C3" s="1076"/>
      <c r="D3" s="1076"/>
      <c r="E3" s="1076"/>
      <c r="F3" s="1076"/>
      <c r="G3" s="1076"/>
      <c r="H3" s="1076" t="s">
        <v>1015</v>
      </c>
      <c r="I3" s="1076"/>
      <c r="J3" s="1076"/>
      <c r="K3" s="1076"/>
      <c r="L3" s="1076"/>
      <c r="M3" s="1077"/>
    </row>
    <row r="4" spans="1:15" s="65" customFormat="1" ht="171.75" customHeight="1" x14ac:dyDescent="0.2">
      <c r="A4" s="1075"/>
      <c r="B4" s="260" t="s">
        <v>788</v>
      </c>
      <c r="C4" s="260" t="s">
        <v>789</v>
      </c>
      <c r="D4" s="260" t="s">
        <v>231</v>
      </c>
      <c r="E4" s="260" t="s">
        <v>80</v>
      </c>
      <c r="F4" s="260" t="s">
        <v>81</v>
      </c>
      <c r="G4" s="260" t="s">
        <v>206</v>
      </c>
      <c r="H4" s="260" t="s">
        <v>788</v>
      </c>
      <c r="I4" s="260" t="s">
        <v>789</v>
      </c>
      <c r="J4" s="260" t="s">
        <v>231</v>
      </c>
      <c r="K4" s="260" t="s">
        <v>80</v>
      </c>
      <c r="L4" s="87" t="s">
        <v>81</v>
      </c>
      <c r="M4" s="89" t="s">
        <v>206</v>
      </c>
    </row>
    <row r="5" spans="1:15" x14ac:dyDescent="0.2">
      <c r="A5" s="90"/>
      <c r="B5" s="88" t="s">
        <v>289</v>
      </c>
      <c r="C5" s="88" t="s">
        <v>290</v>
      </c>
      <c r="D5" s="88" t="s">
        <v>291</v>
      </c>
      <c r="E5" s="88" t="s">
        <v>298</v>
      </c>
      <c r="F5" s="88" t="s">
        <v>292</v>
      </c>
      <c r="G5" s="88" t="s">
        <v>716</v>
      </c>
      <c r="H5" s="88" t="s">
        <v>294</v>
      </c>
      <c r="I5" s="88" t="s">
        <v>295</v>
      </c>
      <c r="J5" s="88" t="s">
        <v>296</v>
      </c>
      <c r="K5" s="88" t="s">
        <v>717</v>
      </c>
      <c r="L5" s="186" t="s">
        <v>718</v>
      </c>
      <c r="M5" s="91" t="s">
        <v>944</v>
      </c>
    </row>
    <row r="6" spans="1:15" ht="36" customHeight="1" thickBot="1" x14ac:dyDescent="0.25">
      <c r="A6" s="92">
        <v>1</v>
      </c>
      <c r="B6" s="187">
        <v>32487800.149999999</v>
      </c>
      <c r="C6" s="187">
        <v>112752056.92</v>
      </c>
      <c r="D6" s="187">
        <v>7343345.1500000004</v>
      </c>
      <c r="E6" s="187">
        <v>3039518.16</v>
      </c>
      <c r="F6" s="187">
        <v>3485750.81</v>
      </c>
      <c r="G6" s="188">
        <f>SUM(B6:F6)</f>
        <v>159108471.19</v>
      </c>
      <c r="H6" s="187">
        <f>B6+'T11-Zdroje KV'!D15-'T5 - Analýza nákladov'!E91</f>
        <v>31312580.039999999</v>
      </c>
      <c r="I6" s="187">
        <f>C6+'T11-Zdroje KV'!D16-'T5 - Analýza nákladov'!E93</f>
        <v>102355446.88000001</v>
      </c>
      <c r="J6" s="555">
        <v>9363877.9000000004</v>
      </c>
      <c r="K6" s="187">
        <v>3980867.64</v>
      </c>
      <c r="L6" s="555">
        <v>2950220.63</v>
      </c>
      <c r="M6" s="189">
        <f>SUM(H6:L6)</f>
        <v>149962993.09</v>
      </c>
    </row>
    <row r="7" spans="1:15" x14ac:dyDescent="0.2">
      <c r="H7" s="676">
        <f>B6+'T11-Zdroje KV'!D15-'T5 - Analýza nákladov'!E91</f>
        <v>31312580.039999999</v>
      </c>
      <c r="I7" s="676">
        <f>C6+'T11-Zdroje KV'!D16-'T5 - Analýza nákladov'!E93</f>
        <v>102355446.88000001</v>
      </c>
      <c r="J7" s="676"/>
      <c r="K7" s="676"/>
      <c r="L7" s="676"/>
      <c r="M7" s="677"/>
      <c r="N7" s="677"/>
      <c r="O7" s="677"/>
    </row>
    <row r="8" spans="1:15" x14ac:dyDescent="0.2">
      <c r="H8" s="677">
        <f>H7-H6</f>
        <v>0</v>
      </c>
      <c r="I8" s="677">
        <f>I7-I6</f>
        <v>0</v>
      </c>
      <c r="J8" s="676"/>
      <c r="K8" s="676"/>
      <c r="L8" s="677"/>
      <c r="M8" s="676"/>
      <c r="N8" s="677"/>
      <c r="O8" s="677"/>
    </row>
    <row r="9" spans="1:15" ht="15.75" customHeight="1" x14ac:dyDescent="0.2">
      <c r="B9" s="378" t="s">
        <v>912</v>
      </c>
      <c r="C9" s="378"/>
      <c r="H9" s="677"/>
      <c r="I9" s="676"/>
      <c r="J9" s="676"/>
      <c r="K9" s="676"/>
      <c r="L9" s="677"/>
      <c r="M9" s="677"/>
      <c r="N9" s="677"/>
      <c r="O9" s="677"/>
    </row>
    <row r="10" spans="1:15" x14ac:dyDescent="0.2">
      <c r="H10" s="677"/>
      <c r="I10" s="676"/>
      <c r="J10" s="676"/>
      <c r="K10" s="676"/>
      <c r="L10" s="677"/>
      <c r="M10" s="677"/>
      <c r="N10" s="677"/>
      <c r="O10" s="677"/>
    </row>
    <row r="11" spans="1:15" x14ac:dyDescent="0.2">
      <c r="A11" s="66" t="s">
        <v>161</v>
      </c>
      <c r="B11" s="378" t="s">
        <v>733</v>
      </c>
      <c r="C11" s="378"/>
      <c r="H11" s="676"/>
      <c r="I11" s="677"/>
      <c r="J11" s="677"/>
      <c r="K11" s="676"/>
      <c r="L11" s="676"/>
      <c r="M11" s="677"/>
      <c r="N11" s="677"/>
      <c r="O11" s="677"/>
    </row>
    <row r="12" spans="1:15" x14ac:dyDescent="0.2">
      <c r="H12" s="677"/>
      <c r="I12" s="677"/>
      <c r="J12" s="677"/>
      <c r="K12" s="677"/>
      <c r="L12" s="677"/>
      <c r="M12" s="677"/>
      <c r="N12" s="677"/>
      <c r="O12" s="677"/>
    </row>
    <row r="13" spans="1:15" ht="16.5" thickBot="1" x14ac:dyDescent="0.25">
      <c r="D13" s="557" t="s">
        <v>1213</v>
      </c>
      <c r="E13" s="558"/>
      <c r="F13" s="558"/>
      <c r="G13" s="818">
        <f>B6</f>
        <v>32487800.149999999</v>
      </c>
      <c r="H13" s="819"/>
      <c r="I13" s="820"/>
      <c r="J13" s="816"/>
      <c r="K13" s="677"/>
      <c r="L13" s="560"/>
    </row>
    <row r="14" spans="1:15" x14ac:dyDescent="0.2">
      <c r="D14" s="557" t="s">
        <v>1214</v>
      </c>
      <c r="E14" s="558"/>
      <c r="F14" s="558"/>
      <c r="G14" s="445">
        <f>C6</f>
        <v>112752056.92</v>
      </c>
      <c r="H14" s="821"/>
      <c r="I14" s="820"/>
      <c r="J14" s="817"/>
      <c r="K14" s="677"/>
      <c r="L14" s="560"/>
    </row>
    <row r="16" spans="1:15" x14ac:dyDescent="0.2">
      <c r="I16" s="556"/>
    </row>
    <row r="65" spans="1:10" x14ac:dyDescent="0.2">
      <c r="A65" s="557"/>
      <c r="B65" s="558"/>
      <c r="C65" s="558"/>
      <c r="D65" s="562"/>
      <c r="E65" s="563"/>
      <c r="F65" s="562"/>
      <c r="G65" s="559"/>
    </row>
    <row r="66" spans="1:10" x14ac:dyDescent="0.2">
      <c r="A66" s="557"/>
      <c r="B66" s="558"/>
      <c r="C66" s="558"/>
      <c r="D66" s="562"/>
      <c r="E66" s="563"/>
      <c r="F66" s="562"/>
      <c r="G66" s="559"/>
    </row>
    <row r="68" spans="1:10" x14ac:dyDescent="0.2">
      <c r="D68" s="557"/>
      <c r="E68" s="558"/>
      <c r="F68" s="558"/>
      <c r="G68" s="562"/>
      <c r="H68" s="563"/>
      <c r="I68" s="562"/>
      <c r="J68" s="559"/>
    </row>
    <row r="69" spans="1:10" x14ac:dyDescent="0.2">
      <c r="D69" s="557"/>
      <c r="E69" s="558"/>
      <c r="F69" s="558"/>
      <c r="G69" s="562"/>
      <c r="H69" s="563"/>
      <c r="I69" s="562"/>
      <c r="J69" s="559"/>
    </row>
  </sheetData>
  <mergeCells count="5">
    <mergeCell ref="A1:M1"/>
    <mergeCell ref="A2:M2"/>
    <mergeCell ref="A3:A4"/>
    <mergeCell ref="B3:G3"/>
    <mergeCell ref="H3:M3"/>
  </mergeCells>
  <pageMargins left="0.4" right="0.27" top="0.98425196850393704" bottom="0.98425196850393704" header="0.51181102362204722" footer="0.51181102362204722"/>
  <pageSetup paperSize="9" scale="63" orientation="landscape" r:id="rId1"/>
  <headerFooter alignWithMargins="0"/>
  <ignoredErrors>
    <ignoredError sqref="G6"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44"/>
  <sheetViews>
    <sheetView zoomScale="85" zoomScaleNormal="85" workbookViewId="0">
      <pane xSplit="3" ySplit="3" topLeftCell="D23" activePane="bottomRight" state="frozen"/>
      <selection pane="topRight" activeCell="D1" sqref="D1"/>
      <selection pane="bottomLeft" activeCell="A4" sqref="A4"/>
      <selection pane="bottomRight" activeCell="F47" sqref="F47"/>
    </sheetView>
  </sheetViews>
  <sheetFormatPr defaultColWidth="9.140625" defaultRowHeight="15.75" x14ac:dyDescent="0.2"/>
  <cols>
    <col min="1" max="1" width="7.42578125" style="564" customWidth="1"/>
    <col min="2" max="2" width="39.85546875" style="564" customWidth="1"/>
    <col min="3" max="3" width="9.42578125" style="564" customWidth="1"/>
    <col min="4" max="4" width="18.42578125" style="564" customWidth="1"/>
    <col min="5" max="5" width="16.5703125" style="564" customWidth="1"/>
    <col min="6" max="6" width="15.42578125" style="564" customWidth="1"/>
    <col min="7" max="7" width="6.42578125" style="564" customWidth="1"/>
    <col min="8" max="8" width="10.140625" style="564" bestFit="1" customWidth="1"/>
    <col min="9" max="16384" width="9.140625" style="564"/>
  </cols>
  <sheetData>
    <row r="1" spans="1:7" ht="66.75" customHeight="1" thickBot="1" x14ac:dyDescent="0.25">
      <c r="A1" s="1078" t="s">
        <v>1016</v>
      </c>
      <c r="B1" s="1079"/>
      <c r="C1" s="1079"/>
      <c r="D1" s="1079"/>
      <c r="E1" s="1079"/>
      <c r="F1" s="1080"/>
    </row>
    <row r="2" spans="1:7" ht="36.75" customHeight="1" thickBot="1" x14ac:dyDescent="0.25">
      <c r="A2" s="1081" t="s">
        <v>1326</v>
      </c>
      <c r="B2" s="1082"/>
      <c r="C2" s="1082"/>
      <c r="D2" s="1082"/>
      <c r="E2" s="1082"/>
      <c r="F2" s="1083"/>
    </row>
    <row r="3" spans="1:7" s="569" customFormat="1" ht="69" customHeight="1" x14ac:dyDescent="0.2">
      <c r="A3" s="565" t="s">
        <v>540</v>
      </c>
      <c r="B3" s="565" t="s">
        <v>409</v>
      </c>
      <c r="C3" s="566" t="s">
        <v>208</v>
      </c>
      <c r="D3" s="566" t="s">
        <v>1017</v>
      </c>
      <c r="E3" s="567" t="s">
        <v>1018</v>
      </c>
      <c r="F3" s="568" t="s">
        <v>990</v>
      </c>
      <c r="G3" s="564"/>
    </row>
    <row r="4" spans="1:7" s="569" customFormat="1" x14ac:dyDescent="0.2">
      <c r="A4" s="570"/>
      <c r="B4" s="571"/>
      <c r="C4" s="572"/>
      <c r="D4" s="572" t="s">
        <v>289</v>
      </c>
      <c r="E4" s="572" t="s">
        <v>290</v>
      </c>
      <c r="F4" s="573" t="s">
        <v>291</v>
      </c>
      <c r="G4" s="564"/>
    </row>
    <row r="5" spans="1:7" customFormat="1" x14ac:dyDescent="0.25">
      <c r="A5" s="574">
        <v>601</v>
      </c>
      <c r="B5" s="575" t="s">
        <v>614</v>
      </c>
      <c r="C5" s="576" t="s">
        <v>615</v>
      </c>
      <c r="D5" s="782"/>
      <c r="E5" s="783"/>
      <c r="F5" s="784">
        <f>E5-D5</f>
        <v>0</v>
      </c>
      <c r="G5" s="564"/>
    </row>
    <row r="6" spans="1:7" customFormat="1" x14ac:dyDescent="0.25">
      <c r="A6" s="577">
        <v>602</v>
      </c>
      <c r="B6" s="578" t="s">
        <v>616</v>
      </c>
      <c r="C6" s="579" t="s">
        <v>617</v>
      </c>
      <c r="D6" s="785">
        <v>5166300.71</v>
      </c>
      <c r="E6" s="786">
        <v>5158432.01</v>
      </c>
      <c r="F6" s="784">
        <f t="shared" ref="F6:F39" si="0">E6-D6</f>
        <v>-7868.7000000001863</v>
      </c>
      <c r="G6" s="564"/>
    </row>
    <row r="7" spans="1:7" customFormat="1" x14ac:dyDescent="0.25">
      <c r="A7" s="577">
        <v>604</v>
      </c>
      <c r="B7" s="580" t="s">
        <v>618</v>
      </c>
      <c r="C7" s="579" t="s">
        <v>619</v>
      </c>
      <c r="D7" s="785">
        <v>89755.98</v>
      </c>
      <c r="E7" s="786">
        <v>97271.95</v>
      </c>
      <c r="F7" s="784">
        <f t="shared" si="0"/>
        <v>7515.9700000000012</v>
      </c>
      <c r="G7" s="564"/>
    </row>
    <row r="8" spans="1:7" customFormat="1" x14ac:dyDescent="0.25">
      <c r="A8" s="577">
        <v>611</v>
      </c>
      <c r="B8" s="578" t="s">
        <v>620</v>
      </c>
      <c r="C8" s="579" t="s">
        <v>621</v>
      </c>
      <c r="D8" s="785"/>
      <c r="E8" s="786"/>
      <c r="F8" s="784">
        <f t="shared" si="0"/>
        <v>0</v>
      </c>
      <c r="G8" s="564"/>
    </row>
    <row r="9" spans="1:7" customFormat="1" x14ac:dyDescent="0.25">
      <c r="A9" s="577">
        <v>612</v>
      </c>
      <c r="B9" s="578" t="s">
        <v>622</v>
      </c>
      <c r="C9" s="579" t="s">
        <v>623</v>
      </c>
      <c r="D9" s="785"/>
      <c r="E9" s="786"/>
      <c r="F9" s="784">
        <f t="shared" si="0"/>
        <v>0</v>
      </c>
      <c r="G9" s="564"/>
    </row>
    <row r="10" spans="1:7" customFormat="1" x14ac:dyDescent="0.25">
      <c r="A10" s="577">
        <v>613</v>
      </c>
      <c r="B10" s="578" t="s">
        <v>624</v>
      </c>
      <c r="C10" s="579" t="s">
        <v>625</v>
      </c>
      <c r="D10" s="785"/>
      <c r="E10" s="786"/>
      <c r="F10" s="784">
        <f t="shared" si="0"/>
        <v>0</v>
      </c>
      <c r="G10" s="564"/>
    </row>
    <row r="11" spans="1:7" customFormat="1" x14ac:dyDescent="0.25">
      <c r="A11" s="577">
        <v>614</v>
      </c>
      <c r="B11" s="578" t="s">
        <v>626</v>
      </c>
      <c r="C11" s="579" t="s">
        <v>627</v>
      </c>
      <c r="D11" s="785"/>
      <c r="E11" s="786"/>
      <c r="F11" s="784">
        <f t="shared" si="0"/>
        <v>0</v>
      </c>
      <c r="G11" s="564"/>
    </row>
    <row r="12" spans="1:7" customFormat="1" x14ac:dyDescent="0.25">
      <c r="A12" s="577">
        <v>621</v>
      </c>
      <c r="B12" s="578" t="s">
        <v>628</v>
      </c>
      <c r="C12" s="579" t="s">
        <v>629</v>
      </c>
      <c r="D12" s="785"/>
      <c r="E12" s="786"/>
      <c r="F12" s="784">
        <f t="shared" si="0"/>
        <v>0</v>
      </c>
      <c r="G12" s="564"/>
    </row>
    <row r="13" spans="1:7" customFormat="1" x14ac:dyDescent="0.25">
      <c r="A13" s="577">
        <v>622</v>
      </c>
      <c r="B13" s="578" t="s">
        <v>630</v>
      </c>
      <c r="C13" s="579" t="s">
        <v>631</v>
      </c>
      <c r="D13" s="785"/>
      <c r="E13" s="786"/>
      <c r="F13" s="784">
        <f t="shared" si="0"/>
        <v>0</v>
      </c>
      <c r="G13" s="564"/>
    </row>
    <row r="14" spans="1:7" customFormat="1" x14ac:dyDescent="0.25">
      <c r="A14" s="577">
        <v>623</v>
      </c>
      <c r="B14" s="578" t="s">
        <v>632</v>
      </c>
      <c r="C14" s="579" t="s">
        <v>633</v>
      </c>
      <c r="D14" s="785"/>
      <c r="E14" s="786"/>
      <c r="F14" s="784">
        <f t="shared" si="0"/>
        <v>0</v>
      </c>
    </row>
    <row r="15" spans="1:7" customFormat="1" x14ac:dyDescent="0.25">
      <c r="A15" s="577">
        <v>624</v>
      </c>
      <c r="B15" s="578" t="s">
        <v>634</v>
      </c>
      <c r="C15" s="579" t="s">
        <v>635</v>
      </c>
      <c r="D15" s="785"/>
      <c r="E15" s="786"/>
      <c r="F15" s="784">
        <f t="shared" si="0"/>
        <v>0</v>
      </c>
    </row>
    <row r="16" spans="1:7" customFormat="1" x14ac:dyDescent="0.25">
      <c r="A16" s="577">
        <v>641</v>
      </c>
      <c r="B16" s="578" t="s">
        <v>571</v>
      </c>
      <c r="C16" s="579" t="s">
        <v>636</v>
      </c>
      <c r="D16" s="785">
        <v>5632.98</v>
      </c>
      <c r="E16" s="786">
        <v>6262.48</v>
      </c>
      <c r="F16" s="784">
        <f t="shared" si="0"/>
        <v>629.5</v>
      </c>
    </row>
    <row r="17" spans="1:12" customFormat="1" x14ac:dyDescent="0.25">
      <c r="A17" s="577">
        <v>642</v>
      </c>
      <c r="B17" s="578" t="s">
        <v>573</v>
      </c>
      <c r="C17" s="579" t="s">
        <v>637</v>
      </c>
      <c r="D17" s="785">
        <v>7144.98</v>
      </c>
      <c r="E17" s="786">
        <v>8470.3700000000008</v>
      </c>
      <c r="F17" s="784">
        <f t="shared" si="0"/>
        <v>1325.3900000000012</v>
      </c>
    </row>
    <row r="18" spans="1:12" customFormat="1" x14ac:dyDescent="0.25">
      <c r="A18" s="577">
        <v>643</v>
      </c>
      <c r="B18" s="578" t="s">
        <v>638</v>
      </c>
      <c r="C18" s="579" t="s">
        <v>639</v>
      </c>
      <c r="D18" s="785"/>
      <c r="E18" s="786"/>
      <c r="F18" s="784">
        <f t="shared" si="0"/>
        <v>0</v>
      </c>
    </row>
    <row r="19" spans="1:12" customFormat="1" x14ac:dyDescent="0.25">
      <c r="A19" s="577">
        <v>644</v>
      </c>
      <c r="B19" s="578" t="s">
        <v>577</v>
      </c>
      <c r="C19" s="579" t="s">
        <v>640</v>
      </c>
      <c r="D19" s="785">
        <v>74.92</v>
      </c>
      <c r="E19" s="786">
        <v>43.65</v>
      </c>
      <c r="F19" s="784">
        <f t="shared" si="0"/>
        <v>-31.270000000000003</v>
      </c>
    </row>
    <row r="20" spans="1:12" customFormat="1" x14ac:dyDescent="0.25">
      <c r="A20" s="577">
        <v>645</v>
      </c>
      <c r="B20" s="578" t="s">
        <v>641</v>
      </c>
      <c r="C20" s="579" t="s">
        <v>642</v>
      </c>
      <c r="D20" s="785"/>
      <c r="E20" s="786"/>
      <c r="F20" s="784">
        <f t="shared" si="0"/>
        <v>0</v>
      </c>
    </row>
    <row r="21" spans="1:12" customFormat="1" x14ac:dyDescent="0.25">
      <c r="A21" s="577">
        <v>646</v>
      </c>
      <c r="B21" s="578" t="s">
        <v>643</v>
      </c>
      <c r="C21" s="579" t="s">
        <v>644</v>
      </c>
      <c r="D21" s="785"/>
      <c r="E21" s="786"/>
      <c r="F21" s="784">
        <f t="shared" si="0"/>
        <v>0</v>
      </c>
    </row>
    <row r="22" spans="1:12" customFormat="1" x14ac:dyDescent="0.25">
      <c r="A22" s="577">
        <v>647</v>
      </c>
      <c r="B22" s="578" t="s">
        <v>645</v>
      </c>
      <c r="C22" s="579" t="s">
        <v>646</v>
      </c>
      <c r="D22" s="785"/>
      <c r="E22" s="786"/>
      <c r="F22" s="784">
        <f t="shared" si="0"/>
        <v>0</v>
      </c>
      <c r="I22" s="564"/>
    </row>
    <row r="23" spans="1:12" customFormat="1" x14ac:dyDescent="0.25">
      <c r="A23" s="577">
        <v>648</v>
      </c>
      <c r="B23" s="578" t="s">
        <v>647</v>
      </c>
      <c r="C23" s="579" t="s">
        <v>648</v>
      </c>
      <c r="D23" s="785"/>
      <c r="E23" s="786"/>
      <c r="F23" s="784">
        <f t="shared" si="0"/>
        <v>0</v>
      </c>
    </row>
    <row r="24" spans="1:12" customFormat="1" x14ac:dyDescent="0.25">
      <c r="A24" s="577">
        <v>649</v>
      </c>
      <c r="B24" s="578" t="s">
        <v>649</v>
      </c>
      <c r="C24" s="579" t="s">
        <v>650</v>
      </c>
      <c r="D24" s="785">
        <v>231899.73</v>
      </c>
      <c r="E24" s="786">
        <v>202908.44</v>
      </c>
      <c r="F24" s="784">
        <f t="shared" si="0"/>
        <v>-28991.290000000008</v>
      </c>
      <c r="G24" s="581"/>
      <c r="H24" s="582"/>
      <c r="I24" s="583"/>
      <c r="J24" s="666"/>
    </row>
    <row r="25" spans="1:12" customFormat="1" x14ac:dyDescent="0.25">
      <c r="A25" s="577">
        <v>651</v>
      </c>
      <c r="B25" s="578" t="s">
        <v>651</v>
      </c>
      <c r="C25" s="579" t="s">
        <v>652</v>
      </c>
      <c r="D25" s="785"/>
      <c r="E25" s="786"/>
      <c r="F25" s="784">
        <f t="shared" si="0"/>
        <v>0</v>
      </c>
      <c r="H25" s="582"/>
    </row>
    <row r="26" spans="1:12" customFormat="1" x14ac:dyDescent="0.25">
      <c r="A26" s="577">
        <v>652</v>
      </c>
      <c r="B26" s="578" t="s">
        <v>653</v>
      </c>
      <c r="C26" s="579" t="s">
        <v>654</v>
      </c>
      <c r="D26" s="785"/>
      <c r="E26" s="786"/>
      <c r="F26" s="784">
        <f t="shared" si="0"/>
        <v>0</v>
      </c>
    </row>
    <row r="27" spans="1:12" customFormat="1" x14ac:dyDescent="0.25">
      <c r="A27" s="577">
        <v>653</v>
      </c>
      <c r="B27" s="578" t="s">
        <v>655</v>
      </c>
      <c r="C27" s="579" t="s">
        <v>656</v>
      </c>
      <c r="D27" s="785"/>
      <c r="E27" s="786"/>
      <c r="F27" s="784">
        <f t="shared" si="0"/>
        <v>0</v>
      </c>
    </row>
    <row r="28" spans="1:12" customFormat="1" x14ac:dyDescent="0.25">
      <c r="A28" s="577">
        <v>654</v>
      </c>
      <c r="B28" s="578" t="s">
        <v>657</v>
      </c>
      <c r="C28" s="579" t="s">
        <v>658</v>
      </c>
      <c r="D28" s="785"/>
      <c r="E28" s="786"/>
      <c r="F28" s="784">
        <f t="shared" si="0"/>
        <v>0</v>
      </c>
    </row>
    <row r="29" spans="1:12" customFormat="1" x14ac:dyDescent="0.25">
      <c r="A29" s="577">
        <v>655</v>
      </c>
      <c r="B29" s="578" t="s">
        <v>659</v>
      </c>
      <c r="C29" s="579" t="s">
        <v>660</v>
      </c>
      <c r="D29" s="785"/>
      <c r="E29" s="786"/>
      <c r="F29" s="784">
        <f t="shared" si="0"/>
        <v>0</v>
      </c>
    </row>
    <row r="30" spans="1:12" customFormat="1" x14ac:dyDescent="0.25">
      <c r="A30" s="584">
        <v>656</v>
      </c>
      <c r="B30" s="578" t="s">
        <v>661</v>
      </c>
      <c r="C30" s="579" t="s">
        <v>662</v>
      </c>
      <c r="D30" s="786">
        <v>180220.46</v>
      </c>
      <c r="E30" s="786">
        <v>211149.27</v>
      </c>
      <c r="F30" s="784">
        <f t="shared" si="0"/>
        <v>30928.809999999998</v>
      </c>
      <c r="G30" s="581"/>
      <c r="H30" s="585"/>
      <c r="I30" s="357"/>
      <c r="J30" s="666"/>
      <c r="K30" s="666"/>
      <c r="L30" s="666"/>
    </row>
    <row r="31" spans="1:12" customFormat="1" x14ac:dyDescent="0.25">
      <c r="A31" s="584">
        <v>657</v>
      </c>
      <c r="B31" s="578" t="s">
        <v>663</v>
      </c>
      <c r="C31" s="579" t="s">
        <v>664</v>
      </c>
      <c r="D31" s="785"/>
      <c r="E31" s="786"/>
      <c r="F31" s="784">
        <f t="shared" si="0"/>
        <v>0</v>
      </c>
      <c r="H31" s="585"/>
      <c r="I31" s="357"/>
    </row>
    <row r="32" spans="1:12" customFormat="1" x14ac:dyDescent="0.25">
      <c r="A32" s="584">
        <v>658</v>
      </c>
      <c r="B32" s="578" t="s">
        <v>665</v>
      </c>
      <c r="C32" s="579" t="s">
        <v>666</v>
      </c>
      <c r="D32" s="785">
        <v>88662.15</v>
      </c>
      <c r="E32" s="786">
        <v>112754.1</v>
      </c>
      <c r="F32" s="784">
        <f t="shared" si="0"/>
        <v>24091.950000000012</v>
      </c>
    </row>
    <row r="33" spans="1:8" customFormat="1" x14ac:dyDescent="0.25">
      <c r="A33" s="584">
        <v>661</v>
      </c>
      <c r="B33" s="578" t="s">
        <v>667</v>
      </c>
      <c r="C33" s="579" t="s">
        <v>668</v>
      </c>
      <c r="D33" s="785"/>
      <c r="E33" s="786"/>
      <c r="F33" s="784">
        <f t="shared" si="0"/>
        <v>0</v>
      </c>
    </row>
    <row r="34" spans="1:8" customFormat="1" x14ac:dyDescent="0.25">
      <c r="A34" s="584">
        <v>662</v>
      </c>
      <c r="B34" s="578" t="s">
        <v>669</v>
      </c>
      <c r="C34" s="579" t="s">
        <v>670</v>
      </c>
      <c r="D34" s="785"/>
      <c r="E34" s="786"/>
      <c r="F34" s="784">
        <f t="shared" si="0"/>
        <v>0</v>
      </c>
    </row>
    <row r="35" spans="1:8" customFormat="1" x14ac:dyDescent="0.25">
      <c r="A35" s="584">
        <v>663</v>
      </c>
      <c r="B35" s="578" t="s">
        <v>671</v>
      </c>
      <c r="C35" s="579" t="s">
        <v>672</v>
      </c>
      <c r="D35" s="785"/>
      <c r="E35" s="786"/>
      <c r="F35" s="784">
        <f t="shared" si="0"/>
        <v>0</v>
      </c>
    </row>
    <row r="36" spans="1:8" customFormat="1" x14ac:dyDescent="0.25">
      <c r="A36" s="584">
        <v>664</v>
      </c>
      <c r="B36" s="578" t="s">
        <v>673</v>
      </c>
      <c r="C36" s="579" t="s">
        <v>674</v>
      </c>
      <c r="D36" s="785"/>
      <c r="E36" s="787"/>
      <c r="F36" s="784">
        <f t="shared" si="0"/>
        <v>0</v>
      </c>
      <c r="G36" s="564"/>
    </row>
    <row r="37" spans="1:8" customFormat="1" x14ac:dyDescent="0.25">
      <c r="A37" s="584">
        <v>665</v>
      </c>
      <c r="B37" s="578" t="s">
        <v>675</v>
      </c>
      <c r="C37" s="579" t="s">
        <v>676</v>
      </c>
      <c r="D37" s="785"/>
      <c r="E37" s="787"/>
      <c r="F37" s="784">
        <f t="shared" si="0"/>
        <v>0</v>
      </c>
      <c r="G37" s="564"/>
    </row>
    <row r="38" spans="1:8" x14ac:dyDescent="0.25">
      <c r="A38" s="584">
        <v>667</v>
      </c>
      <c r="B38" s="578" t="s">
        <v>677</v>
      </c>
      <c r="C38" s="579" t="s">
        <v>678</v>
      </c>
      <c r="D38" s="785"/>
      <c r="E38" s="787"/>
      <c r="F38" s="784">
        <f t="shared" si="0"/>
        <v>0</v>
      </c>
    </row>
    <row r="39" spans="1:8" x14ac:dyDescent="0.25">
      <c r="A39" s="584">
        <v>691</v>
      </c>
      <c r="B39" s="578" t="s">
        <v>679</v>
      </c>
      <c r="C39" s="579" t="s">
        <v>680</v>
      </c>
      <c r="D39" s="785">
        <v>3571358.12</v>
      </c>
      <c r="E39" s="787">
        <v>3405949.96</v>
      </c>
      <c r="F39" s="784">
        <f t="shared" si="0"/>
        <v>-165408.16000000015</v>
      </c>
    </row>
    <row r="40" spans="1:8" x14ac:dyDescent="0.2">
      <c r="A40" s="1084" t="s">
        <v>681</v>
      </c>
      <c r="B40" s="1085"/>
      <c r="C40" s="586" t="s">
        <v>682</v>
      </c>
      <c r="D40" s="788">
        <f>SUM(D5:D39)</f>
        <v>9341050.0300000012</v>
      </c>
      <c r="E40" s="789">
        <f>SUM(E5:E39)</f>
        <v>9203242.2300000004</v>
      </c>
      <c r="F40" s="784">
        <f>SUM(F5:F39)</f>
        <v>-137807.80000000034</v>
      </c>
    </row>
    <row r="41" spans="1:8" x14ac:dyDescent="0.2">
      <c r="A41" s="1086" t="s">
        <v>683</v>
      </c>
      <c r="B41" s="1087"/>
      <c r="C41" s="587" t="s">
        <v>684</v>
      </c>
      <c r="D41" s="505">
        <f>D40-T23_Náklady_soc_oblasť!D42</f>
        <v>439300.40000000037</v>
      </c>
      <c r="E41" s="505">
        <f>E40-T23_Náklady_soc_oblasť!E42</f>
        <v>527968.66999999993</v>
      </c>
      <c r="F41" s="784">
        <f>F40-[3]T23_Náklady_soc_oblasť!F42</f>
        <v>-137807.80000000034</v>
      </c>
    </row>
    <row r="42" spans="1:8" x14ac:dyDescent="0.25">
      <c r="A42" s="584">
        <v>591</v>
      </c>
      <c r="B42" s="578" t="s">
        <v>685</v>
      </c>
      <c r="C42" s="579" t="s">
        <v>686</v>
      </c>
      <c r="D42" s="785"/>
      <c r="E42" s="786"/>
      <c r="F42" s="784">
        <f>E42-D42</f>
        <v>0</v>
      </c>
    </row>
    <row r="43" spans="1:8" x14ac:dyDescent="0.25">
      <c r="A43" s="584">
        <v>595</v>
      </c>
      <c r="B43" s="578" t="s">
        <v>687</v>
      </c>
      <c r="C43" s="579" t="s">
        <v>688</v>
      </c>
      <c r="D43" s="785"/>
      <c r="E43" s="786"/>
      <c r="F43" s="784">
        <f>E43-D43</f>
        <v>0</v>
      </c>
      <c r="H43" s="588"/>
    </row>
    <row r="44" spans="1:8" ht="16.5" thickBot="1" x14ac:dyDescent="0.25">
      <c r="A44" s="1088" t="s">
        <v>689</v>
      </c>
      <c r="B44" s="1089"/>
      <c r="C44" s="589" t="s">
        <v>690</v>
      </c>
      <c r="D44" s="790">
        <f>D41-D42-D43</f>
        <v>439300.40000000037</v>
      </c>
      <c r="E44" s="790">
        <f>E41-E42-E43</f>
        <v>527968.66999999993</v>
      </c>
      <c r="F44" s="791">
        <f>E44-D44</f>
        <v>88668.269999999553</v>
      </c>
    </row>
  </sheetData>
  <mergeCells count="5">
    <mergeCell ref="A1:F1"/>
    <mergeCell ref="A2:F2"/>
    <mergeCell ref="A40:B40"/>
    <mergeCell ref="A41:B41"/>
    <mergeCell ref="A44:B44"/>
  </mergeCells>
  <pageMargins left="0.55118110236220474" right="0.47244094488188981" top="0.59055118110236227" bottom="0.47244094488188981" header="0.15748031496062992" footer="0.15748031496062992"/>
  <pageSetup paperSize="9" scale="7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6"/>
  <sheetViews>
    <sheetView tabSelected="1" zoomScaleNormal="100" workbookViewId="0">
      <pane xSplit="3" ySplit="3" topLeftCell="D4" activePane="bottomRight" state="frozen"/>
      <selection pane="topRight" activeCell="D1" sqref="D1"/>
      <selection pane="bottomLeft" activeCell="A4" sqref="A4"/>
      <selection pane="bottomRight" activeCell="E46" sqref="E46"/>
    </sheetView>
  </sheetViews>
  <sheetFormatPr defaultRowHeight="12.75" x14ac:dyDescent="0.2"/>
  <cols>
    <col min="1" max="1" width="8.42578125" customWidth="1"/>
    <col min="2" max="2" width="42.140625" customWidth="1"/>
    <col min="3" max="3" width="10.140625" customWidth="1"/>
    <col min="4" max="4" width="17.42578125" customWidth="1"/>
    <col min="5" max="5" width="17.140625" customWidth="1"/>
    <col min="6" max="6" width="16.5703125" customWidth="1"/>
    <col min="7" max="7" width="7" bestFit="1" customWidth="1"/>
    <col min="8" max="8" width="9.7109375" bestFit="1" customWidth="1"/>
    <col min="9" max="9" width="10.140625" bestFit="1" customWidth="1"/>
  </cols>
  <sheetData>
    <row r="1" spans="1:6" ht="61.5" customHeight="1" thickBot="1" x14ac:dyDescent="0.25">
      <c r="A1" s="1090" t="s">
        <v>1019</v>
      </c>
      <c r="B1" s="1091"/>
      <c r="C1" s="1091"/>
      <c r="D1" s="1091"/>
      <c r="E1" s="1091"/>
      <c r="F1" s="1092"/>
    </row>
    <row r="2" spans="1:6" ht="47.25" customHeight="1" thickBot="1" x14ac:dyDescent="0.25">
      <c r="A2" s="1093" t="s">
        <v>1321</v>
      </c>
      <c r="B2" s="1094"/>
      <c r="C2" s="1094"/>
      <c r="D2" s="1094"/>
      <c r="E2" s="1094"/>
      <c r="F2" s="1095"/>
    </row>
    <row r="3" spans="1:6" ht="64.5" customHeight="1" x14ac:dyDescent="0.2">
      <c r="A3" s="565" t="s">
        <v>540</v>
      </c>
      <c r="B3" s="590" t="s">
        <v>409</v>
      </c>
      <c r="C3" s="591" t="s">
        <v>208</v>
      </c>
      <c r="D3" s="566" t="s">
        <v>904</v>
      </c>
      <c r="E3" s="567" t="s">
        <v>1020</v>
      </c>
      <c r="F3" s="568" t="s">
        <v>1021</v>
      </c>
    </row>
    <row r="4" spans="1:6" ht="15.75" x14ac:dyDescent="0.2">
      <c r="A4" s="570"/>
      <c r="B4" s="592"/>
      <c r="C4" s="592"/>
      <c r="D4" s="572" t="s">
        <v>289</v>
      </c>
      <c r="E4" s="572" t="s">
        <v>290</v>
      </c>
      <c r="F4" s="573" t="s">
        <v>291</v>
      </c>
    </row>
    <row r="5" spans="1:6" ht="15.75" x14ac:dyDescent="0.25">
      <c r="A5" s="593">
        <v>501</v>
      </c>
      <c r="B5" s="594" t="s">
        <v>541</v>
      </c>
      <c r="C5" s="595" t="s">
        <v>542</v>
      </c>
      <c r="D5" s="783">
        <v>1076501.99</v>
      </c>
      <c r="E5" s="783">
        <v>1108250.6499999999</v>
      </c>
      <c r="F5" s="784">
        <f>E5-D5</f>
        <v>31748.659999999916</v>
      </c>
    </row>
    <row r="6" spans="1:6" ht="15.75" x14ac:dyDescent="0.25">
      <c r="A6" s="596">
        <v>502</v>
      </c>
      <c r="B6" s="597" t="s">
        <v>543</v>
      </c>
      <c r="C6" s="598" t="s">
        <v>544</v>
      </c>
      <c r="D6" s="786">
        <v>1859789.75</v>
      </c>
      <c r="E6" s="786">
        <v>1780621.76</v>
      </c>
      <c r="F6" s="792">
        <f t="shared" ref="F6:F41" si="0">E6-D6</f>
        <v>-79167.989999999991</v>
      </c>
    </row>
    <row r="7" spans="1:6" ht="15.75" x14ac:dyDescent="0.25">
      <c r="A7" s="596">
        <v>504</v>
      </c>
      <c r="B7" s="597" t="s">
        <v>545</v>
      </c>
      <c r="C7" s="598" t="s">
        <v>546</v>
      </c>
      <c r="D7" s="786">
        <v>52786.53</v>
      </c>
      <c r="E7" s="786">
        <v>55119.48</v>
      </c>
      <c r="F7" s="792">
        <f t="shared" si="0"/>
        <v>2332.9500000000044</v>
      </c>
    </row>
    <row r="8" spans="1:6" ht="15.75" x14ac:dyDescent="0.25">
      <c r="A8" s="596">
        <v>511</v>
      </c>
      <c r="B8" s="597" t="s">
        <v>547</v>
      </c>
      <c r="C8" s="598" t="s">
        <v>548</v>
      </c>
      <c r="D8" s="786">
        <v>1754040.16</v>
      </c>
      <c r="E8" s="786">
        <v>1282853.71</v>
      </c>
      <c r="F8" s="792">
        <f t="shared" si="0"/>
        <v>-471186.44999999995</v>
      </c>
    </row>
    <row r="9" spans="1:6" ht="15.75" x14ac:dyDescent="0.25">
      <c r="A9" s="596">
        <v>512</v>
      </c>
      <c r="B9" s="597" t="s">
        <v>549</v>
      </c>
      <c r="C9" s="598" t="s">
        <v>550</v>
      </c>
      <c r="D9" s="786">
        <v>296.63</v>
      </c>
      <c r="E9" s="786">
        <v>2485.14</v>
      </c>
      <c r="F9" s="792">
        <f t="shared" si="0"/>
        <v>2188.5099999999998</v>
      </c>
    </row>
    <row r="10" spans="1:6" ht="15.75" x14ac:dyDescent="0.25">
      <c r="A10" s="596">
        <v>513</v>
      </c>
      <c r="B10" s="597" t="s">
        <v>551</v>
      </c>
      <c r="C10" s="598" t="s">
        <v>552</v>
      </c>
      <c r="D10" s="786">
        <v>259.01</v>
      </c>
      <c r="E10" s="786">
        <v>4576.54</v>
      </c>
      <c r="F10" s="792">
        <f t="shared" si="0"/>
        <v>4317.53</v>
      </c>
    </row>
    <row r="11" spans="1:6" ht="15.75" x14ac:dyDescent="0.25">
      <c r="A11" s="596">
        <v>518</v>
      </c>
      <c r="B11" s="597" t="s">
        <v>553</v>
      </c>
      <c r="C11" s="598" t="s">
        <v>554</v>
      </c>
      <c r="D11" s="786">
        <v>552178.61</v>
      </c>
      <c r="E11" s="786">
        <v>612246.78</v>
      </c>
      <c r="F11" s="792">
        <f t="shared" si="0"/>
        <v>60068.170000000042</v>
      </c>
    </row>
    <row r="12" spans="1:6" ht="15.75" x14ac:dyDescent="0.25">
      <c r="A12" s="596">
        <v>521</v>
      </c>
      <c r="B12" s="597" t="s">
        <v>555</v>
      </c>
      <c r="C12" s="598" t="s">
        <v>556</v>
      </c>
      <c r="D12" s="786">
        <v>2042221.68</v>
      </c>
      <c r="E12" s="786">
        <v>2114243.2799999998</v>
      </c>
      <c r="F12" s="792">
        <f t="shared" si="0"/>
        <v>72021.59999999986</v>
      </c>
    </row>
    <row r="13" spans="1:6" ht="15.75" x14ac:dyDescent="0.25">
      <c r="A13" s="596">
        <v>524</v>
      </c>
      <c r="B13" s="597" t="s">
        <v>557</v>
      </c>
      <c r="C13" s="598" t="s">
        <v>558</v>
      </c>
      <c r="D13" s="786">
        <v>706928.46</v>
      </c>
      <c r="E13" s="786">
        <v>712847.37</v>
      </c>
      <c r="F13" s="792">
        <f t="shared" si="0"/>
        <v>5918.9100000000326</v>
      </c>
    </row>
    <row r="14" spans="1:6" ht="15.75" x14ac:dyDescent="0.25">
      <c r="A14" s="596">
        <v>525</v>
      </c>
      <c r="B14" s="597" t="s">
        <v>559</v>
      </c>
      <c r="C14" s="598" t="s">
        <v>560</v>
      </c>
      <c r="D14" s="786">
        <v>16622.91</v>
      </c>
      <c r="E14" s="786">
        <v>17398.509999999998</v>
      </c>
      <c r="F14" s="792">
        <f t="shared" si="0"/>
        <v>775.59999999999854</v>
      </c>
    </row>
    <row r="15" spans="1:6" ht="15.75" x14ac:dyDescent="0.25">
      <c r="A15" s="596">
        <v>527</v>
      </c>
      <c r="B15" s="597" t="s">
        <v>561</v>
      </c>
      <c r="C15" s="598" t="s">
        <v>562</v>
      </c>
      <c r="D15" s="786">
        <v>117916.92</v>
      </c>
      <c r="E15" s="786">
        <v>121351.11</v>
      </c>
      <c r="F15" s="792">
        <f t="shared" si="0"/>
        <v>3434.1900000000023</v>
      </c>
    </row>
    <row r="16" spans="1:6" ht="15.75" x14ac:dyDescent="0.25">
      <c r="A16" s="596">
        <v>528</v>
      </c>
      <c r="B16" s="597" t="s">
        <v>563</v>
      </c>
      <c r="C16" s="598" t="s">
        <v>564</v>
      </c>
      <c r="D16" s="786"/>
      <c r="E16" s="786"/>
      <c r="F16" s="792">
        <f t="shared" si="0"/>
        <v>0</v>
      </c>
    </row>
    <row r="17" spans="1:11" ht="15.75" x14ac:dyDescent="0.25">
      <c r="A17" s="596">
        <v>531</v>
      </c>
      <c r="B17" s="597" t="s">
        <v>565</v>
      </c>
      <c r="C17" s="598" t="s">
        <v>566</v>
      </c>
      <c r="D17" s="786"/>
      <c r="E17" s="786"/>
      <c r="F17" s="792">
        <f t="shared" si="0"/>
        <v>0</v>
      </c>
    </row>
    <row r="18" spans="1:11" ht="15.75" x14ac:dyDescent="0.25">
      <c r="A18" s="596">
        <v>532</v>
      </c>
      <c r="B18" s="597" t="s">
        <v>567</v>
      </c>
      <c r="C18" s="598" t="s">
        <v>568</v>
      </c>
      <c r="D18" s="786">
        <v>140052.93</v>
      </c>
      <c r="E18" s="786">
        <v>143188</v>
      </c>
      <c r="F18" s="792">
        <f t="shared" si="0"/>
        <v>3135.070000000007</v>
      </c>
    </row>
    <row r="19" spans="1:11" ht="15.75" x14ac:dyDescent="0.25">
      <c r="A19" s="596">
        <v>538</v>
      </c>
      <c r="B19" s="597" t="s">
        <v>569</v>
      </c>
      <c r="C19" s="598" t="s">
        <v>570</v>
      </c>
      <c r="D19" s="786">
        <v>336.38</v>
      </c>
      <c r="E19" s="786">
        <v>603.32000000000005</v>
      </c>
      <c r="F19" s="792">
        <f t="shared" si="0"/>
        <v>266.94000000000005</v>
      </c>
    </row>
    <row r="20" spans="1:11" ht="15.75" x14ac:dyDescent="0.25">
      <c r="A20" s="596">
        <v>541</v>
      </c>
      <c r="B20" s="597" t="s">
        <v>571</v>
      </c>
      <c r="C20" s="598" t="s">
        <v>572</v>
      </c>
      <c r="D20" s="786"/>
      <c r="E20" s="786"/>
      <c r="F20" s="792">
        <f t="shared" si="0"/>
        <v>0</v>
      </c>
    </row>
    <row r="21" spans="1:11" ht="15.75" x14ac:dyDescent="0.25">
      <c r="A21" s="596">
        <v>542</v>
      </c>
      <c r="B21" s="597" t="s">
        <v>573</v>
      </c>
      <c r="C21" s="598" t="s">
        <v>574</v>
      </c>
      <c r="D21" s="786">
        <v>5</v>
      </c>
      <c r="E21" s="786">
        <v>60.19</v>
      </c>
      <c r="F21" s="792">
        <f t="shared" si="0"/>
        <v>55.19</v>
      </c>
    </row>
    <row r="22" spans="1:11" ht="15.75" x14ac:dyDescent="0.25">
      <c r="A22" s="596">
        <v>543</v>
      </c>
      <c r="B22" s="597" t="s">
        <v>575</v>
      </c>
      <c r="C22" s="598" t="s">
        <v>576</v>
      </c>
      <c r="D22" s="786"/>
      <c r="E22" s="786">
        <v>454.47</v>
      </c>
      <c r="F22" s="792">
        <f t="shared" si="0"/>
        <v>454.47</v>
      </c>
    </row>
    <row r="23" spans="1:11" ht="15.75" x14ac:dyDescent="0.25">
      <c r="A23" s="596">
        <v>544</v>
      </c>
      <c r="B23" s="597" t="s">
        <v>577</v>
      </c>
      <c r="C23" s="598" t="s">
        <v>578</v>
      </c>
      <c r="D23" s="786"/>
      <c r="E23" s="786"/>
      <c r="F23" s="792">
        <f t="shared" si="0"/>
        <v>0</v>
      </c>
    </row>
    <row r="24" spans="1:11" ht="15.75" x14ac:dyDescent="0.25">
      <c r="A24" s="596">
        <v>545</v>
      </c>
      <c r="B24" s="597" t="s">
        <v>579</v>
      </c>
      <c r="C24" s="598" t="s">
        <v>580</v>
      </c>
      <c r="D24" s="786"/>
      <c r="E24" s="786"/>
      <c r="F24" s="792">
        <f t="shared" si="0"/>
        <v>0</v>
      </c>
    </row>
    <row r="25" spans="1:11" ht="15.75" x14ac:dyDescent="0.25">
      <c r="A25" s="596">
        <v>546</v>
      </c>
      <c r="B25" s="597" t="s">
        <v>581</v>
      </c>
      <c r="C25" s="598" t="s">
        <v>582</v>
      </c>
      <c r="D25" s="786"/>
      <c r="E25" s="786"/>
      <c r="F25" s="792">
        <f t="shared" si="0"/>
        <v>0</v>
      </c>
    </row>
    <row r="26" spans="1:11" ht="15.75" x14ac:dyDescent="0.25">
      <c r="A26" s="596">
        <v>547</v>
      </c>
      <c r="B26" s="597" t="s">
        <v>583</v>
      </c>
      <c r="C26" s="598" t="s">
        <v>584</v>
      </c>
      <c r="D26" s="786"/>
      <c r="E26" s="786"/>
      <c r="F26" s="792">
        <f t="shared" si="0"/>
        <v>0</v>
      </c>
    </row>
    <row r="27" spans="1:11" ht="15.75" x14ac:dyDescent="0.25">
      <c r="A27" s="596">
        <v>548</v>
      </c>
      <c r="B27" s="597" t="s">
        <v>585</v>
      </c>
      <c r="C27" s="598" t="s">
        <v>586</v>
      </c>
      <c r="D27" s="786">
        <v>40.909999999999997</v>
      </c>
      <c r="E27" s="786"/>
      <c r="F27" s="792">
        <f t="shared" si="0"/>
        <v>-40.909999999999997</v>
      </c>
    </row>
    <row r="28" spans="1:11" ht="15.75" x14ac:dyDescent="0.25">
      <c r="A28" s="596">
        <v>549</v>
      </c>
      <c r="B28" s="597" t="s">
        <v>587</v>
      </c>
      <c r="C28" s="598" t="s">
        <v>588</v>
      </c>
      <c r="D28" s="786">
        <v>180220.46</v>
      </c>
      <c r="E28" s="786">
        <v>211149.27</v>
      </c>
      <c r="F28" s="792">
        <f t="shared" si="0"/>
        <v>30928.809999999998</v>
      </c>
      <c r="G28" s="357"/>
      <c r="I28" s="609"/>
      <c r="K28" s="666"/>
    </row>
    <row r="29" spans="1:11" ht="15.75" x14ac:dyDescent="0.25">
      <c r="A29" s="596">
        <v>551</v>
      </c>
      <c r="B29" s="597" t="s">
        <v>589</v>
      </c>
      <c r="C29" s="598" t="s">
        <v>590</v>
      </c>
      <c r="D29" s="786">
        <v>127804.83</v>
      </c>
      <c r="E29" s="786">
        <v>271163.57</v>
      </c>
      <c r="F29" s="792">
        <f t="shared" si="0"/>
        <v>143358.74</v>
      </c>
      <c r="I29" s="609"/>
    </row>
    <row r="30" spans="1:11" ht="15.75" x14ac:dyDescent="0.25">
      <c r="A30" s="599">
        <v>552</v>
      </c>
      <c r="B30" s="597" t="s">
        <v>723</v>
      </c>
      <c r="C30" s="598" t="s">
        <v>591</v>
      </c>
      <c r="D30" s="786"/>
      <c r="E30" s="786"/>
      <c r="F30" s="792">
        <f t="shared" si="0"/>
        <v>0</v>
      </c>
    </row>
    <row r="31" spans="1:11" ht="15.75" x14ac:dyDescent="0.25">
      <c r="A31" s="599">
        <v>553</v>
      </c>
      <c r="B31" s="597" t="s">
        <v>592</v>
      </c>
      <c r="C31" s="598" t="s">
        <v>593</v>
      </c>
      <c r="D31" s="786"/>
      <c r="E31" s="786"/>
      <c r="F31" s="792">
        <f t="shared" si="0"/>
        <v>0</v>
      </c>
    </row>
    <row r="32" spans="1:11" ht="15.75" x14ac:dyDescent="0.25">
      <c r="A32" s="599">
        <v>554</v>
      </c>
      <c r="B32" s="597" t="s">
        <v>594</v>
      </c>
      <c r="C32" s="598" t="s">
        <v>595</v>
      </c>
      <c r="D32" s="786"/>
      <c r="E32" s="786"/>
      <c r="F32" s="792">
        <f t="shared" si="0"/>
        <v>0</v>
      </c>
    </row>
    <row r="33" spans="1:8" ht="15.75" x14ac:dyDescent="0.25">
      <c r="A33" s="599">
        <v>555</v>
      </c>
      <c r="B33" s="597" t="s">
        <v>596</v>
      </c>
      <c r="C33" s="598" t="s">
        <v>597</v>
      </c>
      <c r="D33" s="786"/>
      <c r="E33" s="786"/>
      <c r="F33" s="792">
        <f t="shared" si="0"/>
        <v>0</v>
      </c>
    </row>
    <row r="34" spans="1:8" ht="15.75" x14ac:dyDescent="0.25">
      <c r="A34" s="599">
        <v>556</v>
      </c>
      <c r="B34" s="597" t="s">
        <v>598</v>
      </c>
      <c r="C34" s="598" t="s">
        <v>599</v>
      </c>
      <c r="D34" s="786">
        <v>231899.73</v>
      </c>
      <c r="E34" s="786">
        <v>202908.41</v>
      </c>
      <c r="F34" s="792">
        <f t="shared" si="0"/>
        <v>-28991.320000000007</v>
      </c>
      <c r="G34" s="357"/>
      <c r="H34" s="608"/>
    </row>
    <row r="35" spans="1:8" ht="15.75" x14ac:dyDescent="0.25">
      <c r="A35" s="599">
        <v>557</v>
      </c>
      <c r="B35" s="597" t="s">
        <v>600</v>
      </c>
      <c r="C35" s="598" t="s">
        <v>601</v>
      </c>
      <c r="D35" s="786"/>
      <c r="E35" s="786"/>
      <c r="F35" s="792">
        <f t="shared" si="0"/>
        <v>0</v>
      </c>
      <c r="H35" s="608"/>
    </row>
    <row r="36" spans="1:8" ht="15.75" x14ac:dyDescent="0.25">
      <c r="A36" s="599">
        <v>558</v>
      </c>
      <c r="B36" s="597" t="s">
        <v>602</v>
      </c>
      <c r="C36" s="598" t="s">
        <v>603</v>
      </c>
      <c r="D36" s="786">
        <v>-2497.2600000000002</v>
      </c>
      <c r="E36" s="786"/>
      <c r="F36" s="792">
        <f t="shared" si="0"/>
        <v>2497.2600000000002</v>
      </c>
    </row>
    <row r="37" spans="1:8" ht="20.25" customHeight="1" x14ac:dyDescent="0.25">
      <c r="A37" s="599">
        <v>561</v>
      </c>
      <c r="B37" s="597" t="s">
        <v>605</v>
      </c>
      <c r="C37" s="598" t="s">
        <v>604</v>
      </c>
      <c r="D37" s="786"/>
      <c r="E37" s="786"/>
      <c r="F37" s="792">
        <f t="shared" si="0"/>
        <v>0</v>
      </c>
    </row>
    <row r="38" spans="1:8" ht="15.75" x14ac:dyDescent="0.25">
      <c r="A38" s="599">
        <v>562</v>
      </c>
      <c r="B38" s="597" t="s">
        <v>607</v>
      </c>
      <c r="C38" s="598" t="s">
        <v>606</v>
      </c>
      <c r="D38" s="786">
        <v>44344</v>
      </c>
      <c r="E38" s="786">
        <v>33752</v>
      </c>
      <c r="F38" s="792">
        <f t="shared" si="0"/>
        <v>-10592</v>
      </c>
    </row>
    <row r="39" spans="1:8" ht="15.75" x14ac:dyDescent="0.25">
      <c r="A39" s="599">
        <v>563</v>
      </c>
      <c r="B39" s="597" t="s">
        <v>609</v>
      </c>
      <c r="C39" s="598" t="s">
        <v>608</v>
      </c>
      <c r="D39" s="786"/>
      <c r="E39" s="786"/>
      <c r="F39" s="792">
        <f t="shared" si="0"/>
        <v>0</v>
      </c>
    </row>
    <row r="40" spans="1:8" ht="15.75" x14ac:dyDescent="0.25">
      <c r="A40" s="600">
        <v>565</v>
      </c>
      <c r="B40" s="601" t="s">
        <v>722</v>
      </c>
      <c r="C40" s="598" t="s">
        <v>610</v>
      </c>
      <c r="D40" s="787"/>
      <c r="E40" s="787"/>
      <c r="F40" s="792">
        <f t="shared" si="0"/>
        <v>0</v>
      </c>
    </row>
    <row r="41" spans="1:8" ht="16.5" thickBot="1" x14ac:dyDescent="0.3">
      <c r="A41" s="600">
        <v>567</v>
      </c>
      <c r="B41" s="602" t="s">
        <v>611</v>
      </c>
      <c r="C41" s="603" t="s">
        <v>612</v>
      </c>
      <c r="D41" s="787"/>
      <c r="E41" s="787"/>
      <c r="F41" s="793">
        <f t="shared" si="0"/>
        <v>0</v>
      </c>
    </row>
    <row r="42" spans="1:8" ht="24.75" customHeight="1" thickBot="1" x14ac:dyDescent="0.25">
      <c r="A42" s="1096" t="s">
        <v>785</v>
      </c>
      <c r="B42" s="1097"/>
      <c r="C42" s="604" t="s">
        <v>613</v>
      </c>
      <c r="D42" s="794">
        <f>SUM(D5:D41)</f>
        <v>8901749.6300000008</v>
      </c>
      <c r="E42" s="794">
        <f>SUM(E5:E41)</f>
        <v>8675273.5600000005</v>
      </c>
      <c r="F42" s="795">
        <f>SUM(F5:F41)</f>
        <v>-226476.07000000007</v>
      </c>
    </row>
    <row r="43" spans="1:8" x14ac:dyDescent="0.2">
      <c r="B43" s="155"/>
      <c r="C43" s="155"/>
      <c r="D43" s="155"/>
      <c r="E43" s="155"/>
    </row>
    <row r="46" spans="1:8" x14ac:dyDescent="0.2">
      <c r="E46" s="357"/>
    </row>
  </sheetData>
  <mergeCells count="3">
    <mergeCell ref="A1:F1"/>
    <mergeCell ref="A2:F2"/>
    <mergeCell ref="A42:B42"/>
  </mergeCells>
  <pageMargins left="0.39370078740157483" right="0.23622047244094491" top="0.59055118110236227" bottom="0.74803149606299213" header="0.31496062992125984" footer="0.31496062992125984"/>
  <pageSetup paperSize="9"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099" t="s">
        <v>532</v>
      </c>
      <c r="B1" s="1100"/>
      <c r="C1" s="1100"/>
      <c r="D1" s="1100"/>
      <c r="E1" s="1100"/>
      <c r="F1" s="1101"/>
    </row>
    <row r="2" spans="1:6" ht="19.5" customHeight="1" x14ac:dyDescent="0.25">
      <c r="A2" s="1098" t="s">
        <v>399</v>
      </c>
      <c r="B2" s="1098"/>
      <c r="C2" s="1098"/>
      <c r="D2" s="1098"/>
      <c r="E2" s="1098"/>
      <c r="F2" s="1098"/>
    </row>
    <row r="3" spans="1:6" ht="42" customHeight="1" x14ac:dyDescent="0.2">
      <c r="A3" s="156" t="s">
        <v>410</v>
      </c>
      <c r="B3" s="157" t="s">
        <v>411</v>
      </c>
      <c r="C3" s="164" t="s">
        <v>534</v>
      </c>
      <c r="D3" s="157" t="s">
        <v>529</v>
      </c>
      <c r="E3" s="157" t="s">
        <v>530</v>
      </c>
      <c r="F3" s="157" t="s">
        <v>531</v>
      </c>
    </row>
    <row r="4" spans="1:6" ht="15.75" x14ac:dyDescent="0.25">
      <c r="A4" s="158" t="s">
        <v>412</v>
      </c>
      <c r="B4" s="158" t="s">
        <v>413</v>
      </c>
      <c r="C4" s="159"/>
      <c r="D4" s="159"/>
      <c r="E4" s="159"/>
      <c r="F4" s="159"/>
    </row>
    <row r="5" spans="1:6" ht="15.75" x14ac:dyDescent="0.25">
      <c r="A5" s="163" t="s">
        <v>414</v>
      </c>
      <c r="B5" s="158" t="s">
        <v>415</v>
      </c>
      <c r="C5" s="159"/>
      <c r="D5" s="159"/>
      <c r="E5" s="159"/>
      <c r="F5" s="159"/>
    </row>
    <row r="6" spans="1:6" ht="15.75" x14ac:dyDescent="0.25">
      <c r="A6" s="158" t="s">
        <v>416</v>
      </c>
      <c r="B6" s="158" t="s">
        <v>417</v>
      </c>
      <c r="C6" s="159"/>
      <c r="D6" s="159"/>
      <c r="E6" s="159"/>
      <c r="F6" s="159"/>
    </row>
    <row r="7" spans="1:6" ht="15.75" x14ac:dyDescent="0.25">
      <c r="A7" s="158" t="s">
        <v>418</v>
      </c>
      <c r="B7" s="158" t="s">
        <v>419</v>
      </c>
      <c r="C7" s="159"/>
      <c r="D7" s="159"/>
      <c r="E7" s="159"/>
      <c r="F7" s="159"/>
    </row>
    <row r="8" spans="1:6" ht="15.75" x14ac:dyDescent="0.25">
      <c r="A8" s="162" t="s">
        <v>533</v>
      </c>
      <c r="B8" s="158" t="s">
        <v>420</v>
      </c>
      <c r="C8" s="159"/>
      <c r="D8" s="159"/>
      <c r="E8" s="159"/>
      <c r="F8" s="159"/>
    </row>
    <row r="9" spans="1:6" ht="15.75" x14ac:dyDescent="0.25">
      <c r="A9" s="158" t="s">
        <v>421</v>
      </c>
      <c r="B9" s="158" t="s">
        <v>422</v>
      </c>
      <c r="C9" s="159"/>
      <c r="D9" s="159"/>
      <c r="E9" s="159"/>
      <c r="F9" s="159"/>
    </row>
    <row r="10" spans="1:6" ht="15.75" x14ac:dyDescent="0.25">
      <c r="A10" s="158" t="s">
        <v>423</v>
      </c>
      <c r="B10" s="158" t="s">
        <v>424</v>
      </c>
      <c r="C10" s="159"/>
      <c r="D10" s="159"/>
      <c r="E10" s="159"/>
      <c r="F10" s="159"/>
    </row>
    <row r="11" spans="1:6" ht="15.75" x14ac:dyDescent="0.25">
      <c r="A11" s="158" t="s">
        <v>425</v>
      </c>
      <c r="B11" s="158" t="s">
        <v>426</v>
      </c>
      <c r="C11" s="159"/>
      <c r="D11" s="159"/>
      <c r="E11" s="159"/>
      <c r="F11" s="159"/>
    </row>
    <row r="12" spans="1:6" ht="15.75" x14ac:dyDescent="0.25">
      <c r="A12" s="163" t="s">
        <v>427</v>
      </c>
      <c r="B12" s="158" t="s">
        <v>428</v>
      </c>
      <c r="C12" s="159"/>
      <c r="D12" s="159"/>
      <c r="E12" s="159"/>
      <c r="F12" s="159"/>
    </row>
    <row r="13" spans="1:6" ht="15.75" x14ac:dyDescent="0.25">
      <c r="A13" s="158" t="s">
        <v>429</v>
      </c>
      <c r="B13" s="158" t="s">
        <v>430</v>
      </c>
      <c r="C13" s="159"/>
      <c r="D13" s="159"/>
      <c r="E13" s="159"/>
      <c r="F13" s="159"/>
    </row>
    <row r="14" spans="1:6" ht="15.75" x14ac:dyDescent="0.25">
      <c r="A14" s="158" t="s">
        <v>431</v>
      </c>
      <c r="B14" s="158" t="s">
        <v>432</v>
      </c>
      <c r="C14" s="159"/>
      <c r="D14" s="159"/>
      <c r="E14" s="159"/>
      <c r="F14" s="159"/>
    </row>
    <row r="15" spans="1:6" ht="15.75" x14ac:dyDescent="0.25">
      <c r="A15" s="158" t="s">
        <v>433</v>
      </c>
      <c r="B15" s="158" t="s">
        <v>434</v>
      </c>
      <c r="C15" s="159"/>
      <c r="D15" s="159"/>
      <c r="E15" s="159"/>
      <c r="F15" s="159"/>
    </row>
    <row r="16" spans="1:6" ht="15.75" x14ac:dyDescent="0.25">
      <c r="A16" s="158" t="s">
        <v>435</v>
      </c>
      <c r="B16" s="158" t="s">
        <v>436</v>
      </c>
      <c r="C16" s="159"/>
      <c r="D16" s="159"/>
      <c r="E16" s="159"/>
      <c r="F16" s="159"/>
    </row>
    <row r="17" spans="1:6" ht="15.75" x14ac:dyDescent="0.25">
      <c r="A17" s="158" t="s">
        <v>437</v>
      </c>
      <c r="B17" s="158" t="s">
        <v>438</v>
      </c>
      <c r="C17" s="159"/>
      <c r="D17" s="159"/>
      <c r="E17" s="159"/>
      <c r="F17" s="159"/>
    </row>
    <row r="18" spans="1:6" ht="15.75" x14ac:dyDescent="0.25">
      <c r="A18" s="158" t="s">
        <v>439</v>
      </c>
      <c r="B18" s="158" t="s">
        <v>440</v>
      </c>
      <c r="C18" s="159"/>
      <c r="D18" s="159"/>
      <c r="E18" s="159"/>
      <c r="F18" s="159"/>
    </row>
    <row r="19" spans="1:6" ht="15.75" x14ac:dyDescent="0.25">
      <c r="A19" s="158" t="s">
        <v>441</v>
      </c>
      <c r="B19" s="158" t="s">
        <v>442</v>
      </c>
      <c r="C19" s="159"/>
      <c r="D19" s="159"/>
      <c r="E19" s="159"/>
      <c r="F19" s="159"/>
    </row>
    <row r="20" spans="1:6" ht="15.75" x14ac:dyDescent="0.25">
      <c r="A20" s="158" t="s">
        <v>443</v>
      </c>
      <c r="B20" s="158" t="s">
        <v>444</v>
      </c>
      <c r="C20" s="159"/>
      <c r="D20" s="159"/>
      <c r="E20" s="159"/>
      <c r="F20" s="159"/>
    </row>
    <row r="21" spans="1:6" ht="15.75" x14ac:dyDescent="0.25">
      <c r="A21" s="158" t="s">
        <v>445</v>
      </c>
      <c r="B21" s="158" t="s">
        <v>446</v>
      </c>
      <c r="C21" s="159"/>
      <c r="D21" s="159"/>
      <c r="E21" s="159"/>
      <c r="F21" s="159"/>
    </row>
    <row r="22" spans="1:6" ht="15.75" x14ac:dyDescent="0.25">
      <c r="A22" s="158" t="s">
        <v>447</v>
      </c>
      <c r="B22" s="158" t="s">
        <v>448</v>
      </c>
      <c r="C22" s="159"/>
      <c r="D22" s="159"/>
      <c r="E22" s="159"/>
      <c r="F22" s="159"/>
    </row>
    <row r="23" spans="1:6" ht="15.75" x14ac:dyDescent="0.25">
      <c r="A23" s="158" t="s">
        <v>449</v>
      </c>
      <c r="B23" s="158" t="s">
        <v>450</v>
      </c>
      <c r="C23" s="159"/>
      <c r="D23" s="159"/>
      <c r="E23" s="159"/>
      <c r="F23" s="159"/>
    </row>
    <row r="24" spans="1:6" ht="15.75" x14ac:dyDescent="0.25">
      <c r="A24" s="163" t="s">
        <v>451</v>
      </c>
      <c r="B24" s="158" t="s">
        <v>452</v>
      </c>
      <c r="C24" s="159"/>
      <c r="D24" s="159"/>
      <c r="E24" s="159"/>
      <c r="F24" s="159"/>
    </row>
    <row r="25" spans="1:6" ht="15.75" x14ac:dyDescent="0.25">
      <c r="A25" s="158" t="s">
        <v>453</v>
      </c>
      <c r="B25" s="158" t="s">
        <v>454</v>
      </c>
      <c r="C25" s="159"/>
      <c r="D25" s="159"/>
      <c r="E25" s="159"/>
      <c r="F25" s="159"/>
    </row>
    <row r="26" spans="1:6" ht="15.75" x14ac:dyDescent="0.25">
      <c r="A26" s="158" t="s">
        <v>455</v>
      </c>
      <c r="B26" s="158" t="s">
        <v>456</v>
      </c>
      <c r="C26" s="159"/>
      <c r="D26" s="159"/>
      <c r="E26" s="159"/>
      <c r="F26" s="159"/>
    </row>
    <row r="27" spans="1:6" ht="15.75" x14ac:dyDescent="0.25">
      <c r="A27" s="158" t="s">
        <v>457</v>
      </c>
      <c r="B27" s="158" t="s">
        <v>458</v>
      </c>
      <c r="C27" s="159"/>
      <c r="D27" s="159"/>
      <c r="E27" s="159"/>
      <c r="F27" s="159"/>
    </row>
    <row r="28" spans="1:6" ht="15.75" x14ac:dyDescent="0.25">
      <c r="A28" s="158" t="s">
        <v>459</v>
      </c>
      <c r="B28" s="158" t="s">
        <v>460</v>
      </c>
      <c r="C28" s="159"/>
      <c r="D28" s="159"/>
      <c r="E28" s="159"/>
      <c r="F28" s="159"/>
    </row>
    <row r="29" spans="1:6" ht="15.75" x14ac:dyDescent="0.25">
      <c r="A29" s="158" t="s">
        <v>461</v>
      </c>
      <c r="B29" s="158" t="s">
        <v>462</v>
      </c>
      <c r="C29" s="159"/>
      <c r="D29" s="159"/>
      <c r="E29" s="159"/>
      <c r="F29" s="159"/>
    </row>
    <row r="30" spans="1:6" ht="15.75" x14ac:dyDescent="0.25">
      <c r="A30" s="158" t="s">
        <v>463</v>
      </c>
      <c r="B30" s="158" t="s">
        <v>464</v>
      </c>
      <c r="C30" s="159"/>
      <c r="D30" s="159"/>
      <c r="E30" s="159"/>
      <c r="F30" s="159"/>
    </row>
    <row r="31" spans="1:6" ht="15.75" x14ac:dyDescent="0.25">
      <c r="A31" s="158" t="s">
        <v>465</v>
      </c>
      <c r="B31" s="158" t="s">
        <v>466</v>
      </c>
      <c r="C31" s="159"/>
      <c r="D31" s="159"/>
      <c r="E31" s="159"/>
      <c r="F31" s="159"/>
    </row>
    <row r="32" spans="1:6" ht="15.75" x14ac:dyDescent="0.25">
      <c r="A32" s="158" t="s">
        <v>467</v>
      </c>
      <c r="B32" s="158" t="s">
        <v>468</v>
      </c>
      <c r="C32" s="159"/>
      <c r="D32" s="159"/>
      <c r="E32" s="159"/>
      <c r="F32" s="159"/>
    </row>
    <row r="33" spans="1:6" ht="15.75" x14ac:dyDescent="0.25">
      <c r="A33" s="163" t="s">
        <v>469</v>
      </c>
      <c r="B33" s="158" t="s">
        <v>470</v>
      </c>
      <c r="C33" s="159"/>
      <c r="D33" s="159"/>
      <c r="E33" s="159"/>
      <c r="F33" s="159"/>
    </row>
    <row r="34" spans="1:6" ht="15.75" x14ac:dyDescent="0.25">
      <c r="A34" s="158" t="s">
        <v>471</v>
      </c>
      <c r="B34" s="158" t="s">
        <v>472</v>
      </c>
      <c r="C34" s="159"/>
      <c r="D34" s="159"/>
      <c r="E34" s="159"/>
      <c r="F34" s="159"/>
    </row>
    <row r="35" spans="1:6" ht="15.75" x14ac:dyDescent="0.25">
      <c r="A35" s="158" t="s">
        <v>473</v>
      </c>
      <c r="B35" s="158" t="s">
        <v>474</v>
      </c>
      <c r="C35" s="159"/>
      <c r="D35" s="159"/>
      <c r="E35" s="159"/>
      <c r="F35" s="159"/>
    </row>
    <row r="36" spans="1:6" ht="15.75" x14ac:dyDescent="0.25">
      <c r="A36" s="158" t="s">
        <v>475</v>
      </c>
      <c r="B36" s="158" t="s">
        <v>476</v>
      </c>
      <c r="C36" s="159"/>
      <c r="D36" s="159"/>
      <c r="E36" s="159"/>
      <c r="F36" s="159"/>
    </row>
    <row r="37" spans="1:6" ht="15.75" x14ac:dyDescent="0.25">
      <c r="A37" s="158" t="s">
        <v>477</v>
      </c>
      <c r="B37" s="158" t="s">
        <v>478</v>
      </c>
      <c r="C37" s="159"/>
      <c r="D37" s="159"/>
      <c r="E37" s="159"/>
      <c r="F37" s="159"/>
    </row>
    <row r="38" spans="1:6" ht="15.75" x14ac:dyDescent="0.25">
      <c r="A38" s="158" t="s">
        <v>479</v>
      </c>
      <c r="B38" s="158" t="s">
        <v>480</v>
      </c>
      <c r="C38" s="159"/>
      <c r="D38" s="159"/>
      <c r="E38" s="159"/>
      <c r="F38" s="159"/>
    </row>
    <row r="39" spans="1:6" ht="15.75" x14ac:dyDescent="0.25">
      <c r="A39" s="158" t="s">
        <v>481</v>
      </c>
      <c r="B39" s="158" t="s">
        <v>482</v>
      </c>
      <c r="C39" s="159"/>
      <c r="D39" s="159"/>
      <c r="E39" s="159"/>
      <c r="F39" s="159"/>
    </row>
    <row r="40" spans="1:6" ht="15.75" x14ac:dyDescent="0.25">
      <c r="A40" s="163" t="s">
        <v>483</v>
      </c>
      <c r="B40" s="158" t="s">
        <v>484</v>
      </c>
      <c r="C40" s="159"/>
      <c r="D40" s="159"/>
      <c r="E40" s="159"/>
      <c r="F40" s="159"/>
    </row>
    <row r="41" spans="1:6" ht="15.75" x14ac:dyDescent="0.25">
      <c r="A41" s="158" t="s">
        <v>485</v>
      </c>
      <c r="B41" s="158" t="s">
        <v>486</v>
      </c>
      <c r="C41" s="159"/>
      <c r="D41" s="159"/>
      <c r="E41" s="159"/>
      <c r="F41" s="159"/>
    </row>
    <row r="42" spans="1:6" ht="15.75" x14ac:dyDescent="0.25">
      <c r="A42" s="158" t="s">
        <v>487</v>
      </c>
      <c r="B42" s="158" t="s">
        <v>488</v>
      </c>
      <c r="C42" s="159"/>
      <c r="D42" s="159"/>
      <c r="E42" s="159"/>
      <c r="F42" s="159"/>
    </row>
    <row r="43" spans="1:6" ht="15.75" x14ac:dyDescent="0.25">
      <c r="A43" s="158" t="s">
        <v>489</v>
      </c>
      <c r="B43" s="158" t="s">
        <v>490</v>
      </c>
      <c r="C43" s="159"/>
      <c r="D43" s="159"/>
      <c r="E43" s="159"/>
      <c r="F43" s="159"/>
    </row>
    <row r="44" spans="1:6" ht="15.75" x14ac:dyDescent="0.25">
      <c r="A44" s="158" t="s">
        <v>491</v>
      </c>
      <c r="B44" s="158" t="s">
        <v>492</v>
      </c>
      <c r="C44" s="159"/>
      <c r="D44" s="159"/>
      <c r="E44" s="159"/>
      <c r="F44" s="159"/>
    </row>
    <row r="45" spans="1:6" ht="15.75" x14ac:dyDescent="0.25">
      <c r="A45" s="163" t="s">
        <v>493</v>
      </c>
      <c r="B45" s="158" t="s">
        <v>494</v>
      </c>
      <c r="C45" s="159"/>
      <c r="D45" s="159"/>
      <c r="E45" s="159"/>
      <c r="F45" s="159"/>
    </row>
    <row r="46" spans="1:6" ht="15.75" x14ac:dyDescent="0.25">
      <c r="A46" s="158" t="s">
        <v>495</v>
      </c>
      <c r="B46" s="158" t="s">
        <v>496</v>
      </c>
      <c r="C46" s="159"/>
      <c r="D46" s="159"/>
      <c r="E46" s="159"/>
      <c r="F46" s="159"/>
    </row>
    <row r="47" spans="1:6" ht="15.75" x14ac:dyDescent="0.25">
      <c r="A47" s="158" t="s">
        <v>487</v>
      </c>
      <c r="B47" s="158" t="s">
        <v>497</v>
      </c>
      <c r="C47" s="159"/>
      <c r="D47" s="159"/>
      <c r="E47" s="159"/>
      <c r="F47" s="159"/>
    </row>
    <row r="48" spans="1:6" ht="15.75" x14ac:dyDescent="0.25">
      <c r="A48" s="158" t="s">
        <v>498</v>
      </c>
      <c r="B48" s="158" t="s">
        <v>499</v>
      </c>
      <c r="C48" s="159"/>
      <c r="D48" s="159"/>
      <c r="E48" s="159"/>
      <c r="F48" s="159"/>
    </row>
    <row r="49" spans="1:6" ht="15.75" x14ac:dyDescent="0.25">
      <c r="A49" s="158" t="s">
        <v>500</v>
      </c>
      <c r="B49" s="158" t="s">
        <v>501</v>
      </c>
      <c r="C49" s="159"/>
      <c r="D49" s="159"/>
      <c r="E49" s="159"/>
      <c r="F49" s="159"/>
    </row>
    <row r="50" spans="1:6" ht="15.75" x14ac:dyDescent="0.25">
      <c r="A50" s="158" t="s">
        <v>502</v>
      </c>
      <c r="B50" s="158" t="s">
        <v>503</v>
      </c>
      <c r="C50" s="159"/>
      <c r="D50" s="159"/>
      <c r="E50" s="159"/>
      <c r="F50" s="159"/>
    </row>
    <row r="51" spans="1:6" ht="15.75" x14ac:dyDescent="0.25">
      <c r="A51" s="158" t="s">
        <v>489</v>
      </c>
      <c r="B51" s="158" t="s">
        <v>504</v>
      </c>
      <c r="C51" s="159"/>
      <c r="D51" s="159"/>
      <c r="E51" s="159"/>
      <c r="F51" s="159"/>
    </row>
    <row r="52" spans="1:6" ht="15.75" x14ac:dyDescent="0.25">
      <c r="A52" s="158" t="s">
        <v>505</v>
      </c>
      <c r="B52" s="158" t="s">
        <v>506</v>
      </c>
      <c r="C52" s="159"/>
      <c r="D52" s="159"/>
      <c r="E52" s="159"/>
      <c r="F52" s="159"/>
    </row>
    <row r="53" spans="1:6" ht="15.75" x14ac:dyDescent="0.25">
      <c r="A53" s="158" t="s">
        <v>491</v>
      </c>
      <c r="B53" s="158" t="s">
        <v>507</v>
      </c>
      <c r="C53" s="159"/>
      <c r="D53" s="159"/>
      <c r="E53" s="159"/>
      <c r="F53" s="159"/>
    </row>
    <row r="54" spans="1:6" ht="15.75" x14ac:dyDescent="0.25">
      <c r="A54" s="163" t="s">
        <v>508</v>
      </c>
      <c r="B54" s="158" t="s">
        <v>509</v>
      </c>
      <c r="C54" s="159"/>
      <c r="D54" s="159"/>
      <c r="E54" s="159"/>
      <c r="F54" s="159"/>
    </row>
    <row r="55" spans="1:6" ht="15.75" x14ac:dyDescent="0.25">
      <c r="A55" s="158" t="s">
        <v>510</v>
      </c>
      <c r="B55" s="158" t="s">
        <v>511</v>
      </c>
      <c r="C55" s="159"/>
      <c r="D55" s="159"/>
      <c r="E55" s="159"/>
      <c r="F55" s="159"/>
    </row>
    <row r="56" spans="1:6" ht="15.75" x14ac:dyDescent="0.25">
      <c r="A56" s="158" t="s">
        <v>512</v>
      </c>
      <c r="B56" s="158" t="s">
        <v>513</v>
      </c>
      <c r="C56" s="159"/>
      <c r="D56" s="159"/>
      <c r="E56" s="159"/>
      <c r="F56" s="159"/>
    </row>
    <row r="57" spans="1:6" ht="15.75" x14ac:dyDescent="0.25">
      <c r="A57" s="158" t="s">
        <v>514</v>
      </c>
      <c r="B57" s="158" t="s">
        <v>515</v>
      </c>
      <c r="C57" s="159"/>
      <c r="D57" s="159"/>
      <c r="E57" s="159"/>
      <c r="F57" s="159"/>
    </row>
    <row r="58" spans="1:6" ht="15.75" x14ac:dyDescent="0.25">
      <c r="A58" s="158" t="s">
        <v>516</v>
      </c>
      <c r="B58" s="158" t="s">
        <v>517</v>
      </c>
      <c r="C58" s="159"/>
      <c r="D58" s="159"/>
      <c r="E58" s="159"/>
      <c r="F58" s="159"/>
    </row>
    <row r="59" spans="1:6" ht="15.75" x14ac:dyDescent="0.25">
      <c r="A59" s="158" t="s">
        <v>518</v>
      </c>
      <c r="B59" s="158" t="s">
        <v>519</v>
      </c>
      <c r="C59" s="159"/>
      <c r="D59" s="159"/>
      <c r="E59" s="159"/>
      <c r="F59" s="159"/>
    </row>
    <row r="60" spans="1:6" ht="15.75" x14ac:dyDescent="0.25">
      <c r="A60" s="158" t="s">
        <v>520</v>
      </c>
      <c r="B60" s="158" t="s">
        <v>521</v>
      </c>
      <c r="C60" s="159"/>
      <c r="D60" s="159"/>
      <c r="E60" s="159"/>
      <c r="F60" s="159"/>
    </row>
    <row r="61" spans="1:6" ht="15.75" x14ac:dyDescent="0.25">
      <c r="A61" s="163" t="s">
        <v>522</v>
      </c>
      <c r="B61" s="158" t="s">
        <v>523</v>
      </c>
      <c r="C61" s="159"/>
      <c r="D61" s="159"/>
      <c r="E61" s="159"/>
      <c r="F61" s="159"/>
    </row>
    <row r="62" spans="1:6" ht="15.75" x14ac:dyDescent="0.25">
      <c r="A62" s="158" t="s">
        <v>524</v>
      </c>
      <c r="B62" s="158" t="s">
        <v>525</v>
      </c>
      <c r="C62" s="159"/>
      <c r="D62" s="159"/>
      <c r="E62" s="159"/>
      <c r="F62" s="159"/>
    </row>
    <row r="63" spans="1:6" ht="15.75" x14ac:dyDescent="0.25">
      <c r="A63" s="158" t="s">
        <v>526</v>
      </c>
      <c r="B63" s="158" t="s">
        <v>527</v>
      </c>
      <c r="C63" s="159"/>
      <c r="D63" s="159"/>
      <c r="E63" s="159"/>
      <c r="F63" s="159"/>
    </row>
    <row r="64" spans="1:6" ht="15.75" x14ac:dyDescent="0.25">
      <c r="A64" s="160" t="s">
        <v>528</v>
      </c>
      <c r="B64" s="161"/>
      <c r="C64" s="159"/>
      <c r="D64" s="159"/>
      <c r="E64" s="159"/>
      <c r="F64" s="159"/>
    </row>
    <row r="65" spans="1:6" ht="15.75" x14ac:dyDescent="0.25">
      <c r="A65" s="81"/>
      <c r="B65" s="81"/>
      <c r="C65" s="81"/>
      <c r="D65" s="81"/>
      <c r="E65" s="81"/>
      <c r="F65" s="81"/>
    </row>
    <row r="66" spans="1:6" ht="15.75" x14ac:dyDescent="0.25">
      <c r="A66" s="81"/>
      <c r="B66" s="81"/>
      <c r="C66" s="81"/>
      <c r="D66" s="81"/>
      <c r="E66" s="81"/>
      <c r="F66" s="81"/>
    </row>
    <row r="67" spans="1:6" ht="15.75" x14ac:dyDescent="0.25">
      <c r="A67" s="81"/>
      <c r="B67" s="81"/>
      <c r="C67" s="81"/>
      <c r="D67" s="81"/>
      <c r="E67" s="81"/>
      <c r="F67" s="81"/>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1"/>
  <sheetViews>
    <sheetView zoomScale="110" zoomScaleNormal="110" workbookViewId="0">
      <pane xSplit="1" ySplit="2" topLeftCell="B3" activePane="bottomRight" state="frozen"/>
      <selection pane="topRight" activeCell="B1" sqref="B1"/>
      <selection pane="bottomLeft" activeCell="A3" sqref="A3"/>
      <selection pane="bottomRight" activeCell="A2" sqref="A2"/>
    </sheetView>
  </sheetViews>
  <sheetFormatPr defaultRowHeight="15.75" x14ac:dyDescent="0.2"/>
  <cols>
    <col min="1" max="1" width="19.5703125" style="36" customWidth="1"/>
    <col min="2" max="2" width="113" style="11" customWidth="1"/>
    <col min="3" max="3" width="14.5703125" style="401" customWidth="1"/>
  </cols>
  <sheetData>
    <row r="1" spans="1:3" ht="19.5" thickBot="1" x14ac:dyDescent="0.3">
      <c r="A1" s="864" t="s">
        <v>967</v>
      </c>
      <c r="B1" s="865"/>
      <c r="C1" s="400"/>
    </row>
    <row r="2" spans="1:3" x14ac:dyDescent="0.2">
      <c r="A2" s="165" t="s">
        <v>227</v>
      </c>
      <c r="B2" s="165" t="s">
        <v>297</v>
      </c>
    </row>
    <row r="3" spans="1:3" ht="144.75" customHeight="1" x14ac:dyDescent="0.2">
      <c r="A3" s="300" t="s">
        <v>228</v>
      </c>
      <c r="B3" s="167" t="s">
        <v>319</v>
      </c>
    </row>
    <row r="4" spans="1:3" ht="56.25" customHeight="1" x14ac:dyDescent="0.2">
      <c r="A4" s="300" t="s">
        <v>229</v>
      </c>
      <c r="B4" s="300" t="s">
        <v>76</v>
      </c>
    </row>
    <row r="5" spans="1:3" ht="47.25" x14ac:dyDescent="0.2">
      <c r="A5" s="300" t="s">
        <v>39</v>
      </c>
      <c r="B5" s="167" t="s">
        <v>968</v>
      </c>
    </row>
    <row r="6" spans="1:3" ht="302.25" customHeight="1" x14ac:dyDescent="0.2">
      <c r="A6" s="300" t="s">
        <v>40</v>
      </c>
      <c r="B6" s="300" t="s">
        <v>754</v>
      </c>
    </row>
    <row r="7" spans="1:3" ht="38.25" customHeight="1" x14ac:dyDescent="0.2">
      <c r="A7" s="300" t="s">
        <v>41</v>
      </c>
      <c r="B7" s="167" t="s">
        <v>924</v>
      </c>
    </row>
    <row r="8" spans="1:3" ht="54" customHeight="1" x14ac:dyDescent="0.2">
      <c r="A8" s="166" t="s">
        <v>226</v>
      </c>
      <c r="B8" s="166" t="s">
        <v>721</v>
      </c>
    </row>
    <row r="9" spans="1:3" ht="21" customHeight="1" x14ac:dyDescent="0.2">
      <c r="A9" s="167" t="s">
        <v>706</v>
      </c>
      <c r="B9" s="167" t="s">
        <v>969</v>
      </c>
    </row>
    <row r="10" spans="1:3" ht="31.5" x14ac:dyDescent="0.2">
      <c r="A10" s="171" t="s">
        <v>99</v>
      </c>
      <c r="B10" s="168" t="s">
        <v>707</v>
      </c>
    </row>
    <row r="11" spans="1:3" ht="66" customHeight="1" x14ac:dyDescent="0.2">
      <c r="A11" s="166" t="s">
        <v>220</v>
      </c>
      <c r="B11" s="166" t="s">
        <v>699</v>
      </c>
    </row>
    <row r="12" spans="1:3" ht="63" x14ac:dyDescent="0.2">
      <c r="A12" s="169" t="s">
        <v>221</v>
      </c>
      <c r="B12" s="169" t="s">
        <v>1162</v>
      </c>
      <c r="C12" s="415"/>
    </row>
    <row r="13" spans="1:3" ht="36" customHeight="1" x14ac:dyDescent="0.2">
      <c r="A13" s="170" t="s">
        <v>222</v>
      </c>
      <c r="B13" s="170" t="s">
        <v>1131</v>
      </c>
    </row>
    <row r="14" spans="1:3" ht="66.75" customHeight="1" x14ac:dyDescent="0.2">
      <c r="A14" s="167" t="s">
        <v>223</v>
      </c>
      <c r="B14" s="183" t="s">
        <v>767</v>
      </c>
      <c r="C14" s="402"/>
    </row>
    <row r="15" spans="1:3" ht="84" customHeight="1" x14ac:dyDescent="0.2">
      <c r="A15" s="167" t="s">
        <v>224</v>
      </c>
      <c r="B15" s="183" t="s">
        <v>909</v>
      </c>
    </row>
    <row r="16" spans="1:3" ht="21.75" customHeight="1" x14ac:dyDescent="0.2">
      <c r="A16" s="167" t="s">
        <v>35</v>
      </c>
      <c r="B16" s="167" t="s">
        <v>700</v>
      </c>
    </row>
    <row r="17" spans="1:3" ht="52.5" customHeight="1" x14ac:dyDescent="0.2">
      <c r="A17" s="166" t="s">
        <v>27</v>
      </c>
      <c r="B17" s="166" t="s">
        <v>970</v>
      </c>
    </row>
    <row r="18" spans="1:3" ht="64.5" customHeight="1" x14ac:dyDescent="0.2">
      <c r="A18" s="300" t="s">
        <v>218</v>
      </c>
      <c r="B18" s="300" t="s">
        <v>1051</v>
      </c>
    </row>
    <row r="19" spans="1:3" ht="33" customHeight="1" x14ac:dyDescent="0.2">
      <c r="A19" s="239" t="s">
        <v>301</v>
      </c>
      <c r="B19" s="239" t="s">
        <v>254</v>
      </c>
    </row>
    <row r="20" spans="1:3" ht="17.25" customHeight="1" x14ac:dyDescent="0.2">
      <c r="A20" s="300" t="s">
        <v>879</v>
      </c>
      <c r="B20" s="300" t="s">
        <v>881</v>
      </c>
    </row>
    <row r="21" spans="1:3" ht="31.5" x14ac:dyDescent="0.2">
      <c r="A21" s="300" t="s">
        <v>863</v>
      </c>
      <c r="B21" s="300" t="s">
        <v>880</v>
      </c>
    </row>
    <row r="22" spans="1:3" ht="18" customHeight="1" x14ac:dyDescent="0.2">
      <c r="A22" s="300" t="s">
        <v>724</v>
      </c>
      <c r="B22" s="300" t="s">
        <v>882</v>
      </c>
    </row>
    <row r="23" spans="1:3" ht="20.25" customHeight="1" x14ac:dyDescent="0.2">
      <c r="A23" s="300" t="s">
        <v>864</v>
      </c>
      <c r="B23" s="300" t="s">
        <v>725</v>
      </c>
    </row>
    <row r="24" spans="1:3" ht="36" customHeight="1" x14ac:dyDescent="0.2">
      <c r="A24" s="300" t="s">
        <v>1045</v>
      </c>
      <c r="B24" s="300" t="s">
        <v>1132</v>
      </c>
    </row>
    <row r="25" spans="1:3" ht="21" customHeight="1" x14ac:dyDescent="0.2">
      <c r="A25" s="300" t="s">
        <v>885</v>
      </c>
      <c r="B25" s="300" t="s">
        <v>971</v>
      </c>
    </row>
    <row r="26" spans="1:3" ht="36" customHeight="1" x14ac:dyDescent="0.2">
      <c r="A26" s="300" t="s">
        <v>886</v>
      </c>
      <c r="B26" s="300" t="s">
        <v>887</v>
      </c>
    </row>
    <row r="27" spans="1:3" ht="55.5" customHeight="1" x14ac:dyDescent="0.2">
      <c r="A27" s="166" t="s">
        <v>19</v>
      </c>
      <c r="B27" s="166" t="s">
        <v>972</v>
      </c>
    </row>
    <row r="28" spans="1:3" ht="73.5" customHeight="1" x14ac:dyDescent="0.2">
      <c r="A28" s="300" t="s">
        <v>219</v>
      </c>
      <c r="B28" s="300" t="s">
        <v>973</v>
      </c>
    </row>
    <row r="29" spans="1:3" ht="35.25" customHeight="1" x14ac:dyDescent="0.2">
      <c r="A29" s="166" t="s">
        <v>159</v>
      </c>
      <c r="B29" s="166" t="s">
        <v>539</v>
      </c>
    </row>
    <row r="30" spans="1:3" s="109" customFormat="1" ht="213.6" customHeight="1" x14ac:dyDescent="0.2">
      <c r="A30" s="300" t="s">
        <v>348</v>
      </c>
      <c r="B30" s="167" t="s">
        <v>755</v>
      </c>
      <c r="C30" s="404"/>
    </row>
    <row r="31" spans="1:3" ht="31.5" x14ac:dyDescent="0.2">
      <c r="A31" s="170" t="s">
        <v>255</v>
      </c>
      <c r="B31" s="203" t="s">
        <v>910</v>
      </c>
    </row>
    <row r="32" spans="1:3" ht="78.75" x14ac:dyDescent="0.2">
      <c r="A32" s="167" t="s">
        <v>256</v>
      </c>
      <c r="B32" s="167" t="s">
        <v>203</v>
      </c>
      <c r="C32" s="403"/>
    </row>
    <row r="33" spans="1:3" ht="31.5" x14ac:dyDescent="0.2">
      <c r="A33" s="170" t="s">
        <v>257</v>
      </c>
      <c r="B33" s="170" t="s">
        <v>152</v>
      </c>
    </row>
    <row r="34" spans="1:3" ht="18" customHeight="1" x14ac:dyDescent="0.2">
      <c r="A34" s="170" t="s">
        <v>258</v>
      </c>
      <c r="B34" s="170" t="s">
        <v>153</v>
      </c>
    </row>
    <row r="35" spans="1:3" ht="18" customHeight="1" x14ac:dyDescent="0.2">
      <c r="A35" s="170" t="s">
        <v>259</v>
      </c>
      <c r="B35" s="170" t="s">
        <v>175</v>
      </c>
    </row>
    <row r="36" spans="1:3" ht="34.5" customHeight="1" x14ac:dyDescent="0.2">
      <c r="A36" s="170" t="s">
        <v>260</v>
      </c>
      <c r="B36" s="170" t="s">
        <v>1133</v>
      </c>
    </row>
    <row r="37" spans="1:3" ht="78.75" x14ac:dyDescent="0.2">
      <c r="A37" s="170" t="s">
        <v>315</v>
      </c>
      <c r="B37" s="170" t="s">
        <v>974</v>
      </c>
    </row>
    <row r="38" spans="1:3" ht="36.75" customHeight="1" x14ac:dyDescent="0.2">
      <c r="A38" s="170" t="s">
        <v>154</v>
      </c>
      <c r="B38" s="170" t="s">
        <v>975</v>
      </c>
    </row>
    <row r="39" spans="1:3" ht="45" customHeight="1" x14ac:dyDescent="0.2">
      <c r="A39" s="170" t="s">
        <v>155</v>
      </c>
      <c r="B39" s="170" t="s">
        <v>976</v>
      </c>
    </row>
    <row r="40" spans="1:3" ht="62.25" customHeight="1" x14ac:dyDescent="0.2">
      <c r="A40" s="170" t="s">
        <v>156</v>
      </c>
      <c r="B40" s="167" t="s">
        <v>1046</v>
      </c>
      <c r="C40" s="403"/>
    </row>
    <row r="41" spans="1:3" ht="31.5" x14ac:dyDescent="0.2">
      <c r="A41" s="170" t="s">
        <v>157</v>
      </c>
      <c r="B41" s="170" t="s">
        <v>701</v>
      </c>
    </row>
    <row r="42" spans="1:3" ht="20.25" customHeight="1" x14ac:dyDescent="0.2">
      <c r="A42" s="167" t="s">
        <v>158</v>
      </c>
      <c r="B42" s="167" t="s">
        <v>72</v>
      </c>
    </row>
    <row r="43" spans="1:3" ht="30" customHeight="1" x14ac:dyDescent="0.2">
      <c r="A43" s="312" t="s">
        <v>905</v>
      </c>
      <c r="B43" s="312" t="s">
        <v>888</v>
      </c>
    </row>
    <row r="44" spans="1:3" ht="33.75" customHeight="1" x14ac:dyDescent="0.2">
      <c r="A44" s="166" t="s">
        <v>20</v>
      </c>
      <c r="B44" s="166" t="s">
        <v>925</v>
      </c>
      <c r="C44" s="405"/>
    </row>
    <row r="45" spans="1:3" ht="33.75" customHeight="1" x14ac:dyDescent="0.2">
      <c r="A45" s="166" t="s">
        <v>261</v>
      </c>
      <c r="B45" s="166" t="s">
        <v>269</v>
      </c>
    </row>
    <row r="46" spans="1:3" ht="31.5" x14ac:dyDescent="0.2">
      <c r="A46" s="183" t="s">
        <v>835</v>
      </c>
      <c r="B46" s="183" t="s">
        <v>926</v>
      </c>
    </row>
    <row r="47" spans="1:3" ht="33" customHeight="1" x14ac:dyDescent="0.2">
      <c r="A47" s="167" t="s">
        <v>176</v>
      </c>
      <c r="B47" s="167" t="s">
        <v>702</v>
      </c>
    </row>
    <row r="48" spans="1:3" ht="63" x14ac:dyDescent="0.2">
      <c r="A48" s="166" t="s">
        <v>21</v>
      </c>
      <c r="B48" s="166" t="s">
        <v>756</v>
      </c>
    </row>
    <row r="49" spans="1:3" x14ac:dyDescent="0.2">
      <c r="A49" s="170" t="s">
        <v>405</v>
      </c>
      <c r="B49" s="203" t="s">
        <v>766</v>
      </c>
    </row>
    <row r="50" spans="1:3" ht="31.5" x14ac:dyDescent="0.2">
      <c r="A50" s="167" t="s">
        <v>74</v>
      </c>
      <c r="B50" s="167" t="s">
        <v>177</v>
      </c>
    </row>
    <row r="51" spans="1:3" ht="18.600000000000001" customHeight="1" x14ac:dyDescent="0.2">
      <c r="A51" s="170" t="s">
        <v>713</v>
      </c>
      <c r="B51" s="170" t="s">
        <v>911</v>
      </c>
    </row>
    <row r="52" spans="1:3" ht="50.25" customHeight="1" x14ac:dyDescent="0.2">
      <c r="A52" s="166" t="s">
        <v>300</v>
      </c>
      <c r="B52" s="166" t="s">
        <v>757</v>
      </c>
    </row>
    <row r="53" spans="1:3" s="109" customFormat="1" ht="31.5" x14ac:dyDescent="0.2">
      <c r="A53" s="166" t="s">
        <v>200</v>
      </c>
      <c r="B53" s="166" t="s">
        <v>758</v>
      </c>
      <c r="C53" s="404"/>
    </row>
    <row r="54" spans="1:3" s="109" customFormat="1" x14ac:dyDescent="0.2">
      <c r="A54" s="239" t="s">
        <v>372</v>
      </c>
      <c r="B54" s="239" t="s">
        <v>977</v>
      </c>
      <c r="C54" s="404"/>
    </row>
    <row r="55" spans="1:3" s="109" customFormat="1" ht="31.5" x14ac:dyDescent="0.2">
      <c r="A55" s="183" t="s">
        <v>270</v>
      </c>
      <c r="B55" s="183" t="s">
        <v>178</v>
      </c>
      <c r="C55" s="404"/>
    </row>
    <row r="56" spans="1:3" s="109" customFormat="1" ht="31.5" x14ac:dyDescent="0.2">
      <c r="A56" s="203" t="s">
        <v>401</v>
      </c>
      <c r="B56" s="203" t="s">
        <v>1134</v>
      </c>
      <c r="C56" s="404"/>
    </row>
    <row r="57" spans="1:3" s="109" customFormat="1" ht="34.5" x14ac:dyDescent="0.2">
      <c r="A57" s="203" t="s">
        <v>765</v>
      </c>
      <c r="B57" s="204" t="s">
        <v>1136</v>
      </c>
      <c r="C57" s="404"/>
    </row>
    <row r="58" spans="1:3" s="109" customFormat="1" ht="22.5" customHeight="1" x14ac:dyDescent="0.2">
      <c r="A58" s="203" t="s">
        <v>773</v>
      </c>
      <c r="B58" s="204" t="s">
        <v>1135</v>
      </c>
      <c r="C58" s="404"/>
    </row>
    <row r="59" spans="1:3" ht="47.25" x14ac:dyDescent="0.2">
      <c r="A59" s="166" t="s">
        <v>22</v>
      </c>
      <c r="B59" s="166" t="s">
        <v>190</v>
      </c>
    </row>
    <row r="60" spans="1:3" ht="31.5" x14ac:dyDescent="0.2">
      <c r="A60" s="167" t="s">
        <v>1137</v>
      </c>
      <c r="B60" s="167" t="s">
        <v>138</v>
      </c>
    </row>
    <row r="61" spans="1:3" ht="47.25" x14ac:dyDescent="0.2">
      <c r="A61" s="203" t="s">
        <v>735</v>
      </c>
      <c r="B61" s="203" t="s">
        <v>978</v>
      </c>
    </row>
    <row r="62" spans="1:3" ht="47.25" x14ac:dyDescent="0.2">
      <c r="A62" s="203" t="s">
        <v>736</v>
      </c>
      <c r="B62" s="203" t="s">
        <v>1145</v>
      </c>
      <c r="C62" s="413"/>
    </row>
    <row r="63" spans="1:3" ht="47.25" x14ac:dyDescent="0.2">
      <c r="A63" s="183" t="s">
        <v>137</v>
      </c>
      <c r="B63" s="183" t="s">
        <v>979</v>
      </c>
    </row>
    <row r="64" spans="1:3" ht="63.75" customHeight="1" x14ac:dyDescent="0.2">
      <c r="A64" s="203" t="s">
        <v>737</v>
      </c>
      <c r="B64" s="183" t="s">
        <v>1161</v>
      </c>
    </row>
    <row r="65" spans="1:11" s="113" customFormat="1" ht="31.5" x14ac:dyDescent="0.2">
      <c r="A65" s="166" t="s">
        <v>23</v>
      </c>
      <c r="B65" s="166" t="s">
        <v>980</v>
      </c>
      <c r="C65" s="406"/>
    </row>
    <row r="66" spans="1:11" s="109" customFormat="1" ht="31.5" x14ac:dyDescent="0.2">
      <c r="A66" s="167" t="s">
        <v>201</v>
      </c>
      <c r="B66" s="167" t="s">
        <v>202</v>
      </c>
      <c r="C66" s="404"/>
    </row>
    <row r="67" spans="1:11" ht="31.5" x14ac:dyDescent="0.2">
      <c r="A67" s="167" t="s">
        <v>1047</v>
      </c>
      <c r="B67" s="167" t="s">
        <v>981</v>
      </c>
      <c r="C67" s="407"/>
    </row>
    <row r="68" spans="1:11" ht="34.5" customHeight="1" x14ac:dyDescent="0.2">
      <c r="A68" s="166" t="s">
        <v>349</v>
      </c>
      <c r="B68" s="166" t="s">
        <v>982</v>
      </c>
      <c r="C68" s="403"/>
      <c r="K68" s="357"/>
    </row>
    <row r="69" spans="1:11" ht="34.5" customHeight="1" x14ac:dyDescent="0.2">
      <c r="A69" s="183" t="s">
        <v>333</v>
      </c>
      <c r="B69" s="183" t="s">
        <v>927</v>
      </c>
      <c r="C69" s="407"/>
    </row>
    <row r="70" spans="1:11" ht="21" customHeight="1" x14ac:dyDescent="0.2">
      <c r="A70" s="167" t="s">
        <v>350</v>
      </c>
      <c r="B70" s="167" t="s">
        <v>889</v>
      </c>
      <c r="C70" s="407"/>
    </row>
    <row r="71" spans="1:11" ht="53.25" customHeight="1" x14ac:dyDescent="0.2">
      <c r="A71" s="170" t="s">
        <v>36</v>
      </c>
      <c r="B71" s="170" t="s">
        <v>215</v>
      </c>
    </row>
    <row r="72" spans="1:11" ht="36" customHeight="1" x14ac:dyDescent="0.2">
      <c r="A72" s="167" t="s">
        <v>71</v>
      </c>
      <c r="B72" s="167" t="s">
        <v>983</v>
      </c>
    </row>
    <row r="73" spans="1:11" ht="33.75" customHeight="1" x14ac:dyDescent="0.2">
      <c r="A73" s="196" t="s">
        <v>704</v>
      </c>
      <c r="B73" s="203" t="s">
        <v>928</v>
      </c>
    </row>
    <row r="74" spans="1:11" ht="84.75" customHeight="1" x14ac:dyDescent="0.2">
      <c r="A74" s="166" t="s">
        <v>160</v>
      </c>
      <c r="B74" s="166" t="s">
        <v>984</v>
      </c>
    </row>
    <row r="75" spans="1:11" ht="18" customHeight="1" x14ac:dyDescent="0.2">
      <c r="A75" s="167" t="s">
        <v>78</v>
      </c>
      <c r="B75" s="167" t="s">
        <v>929</v>
      </c>
    </row>
    <row r="76" spans="1:11" ht="19.5" customHeight="1" x14ac:dyDescent="0.2">
      <c r="A76" s="170" t="s">
        <v>316</v>
      </c>
      <c r="B76" s="170" t="s">
        <v>42</v>
      </c>
    </row>
    <row r="77" spans="1:11" ht="21" customHeight="1" x14ac:dyDescent="0.2">
      <c r="A77" s="170" t="s">
        <v>77</v>
      </c>
      <c r="B77" s="170" t="s">
        <v>317</v>
      </c>
    </row>
    <row r="78" spans="1:11" ht="25.5" customHeight="1" x14ac:dyDescent="0.2">
      <c r="A78" s="170" t="s">
        <v>318</v>
      </c>
      <c r="B78" s="170" t="s">
        <v>334</v>
      </c>
    </row>
    <row r="79" spans="1:11" ht="35.25" customHeight="1" x14ac:dyDescent="0.2">
      <c r="A79" s="170" t="s">
        <v>51</v>
      </c>
      <c r="B79" s="170" t="s">
        <v>52</v>
      </c>
    </row>
    <row r="80" spans="1:11" ht="35.25" customHeight="1" x14ac:dyDescent="0.2">
      <c r="A80" s="170" t="s">
        <v>53</v>
      </c>
      <c r="B80" s="170" t="s">
        <v>54</v>
      </c>
    </row>
    <row r="81" spans="1:6" ht="47.25" x14ac:dyDescent="0.2">
      <c r="A81" s="167" t="s">
        <v>55</v>
      </c>
      <c r="B81" s="167" t="s">
        <v>1146</v>
      </c>
      <c r="C81" s="409"/>
      <c r="F81" s="357"/>
    </row>
    <row r="82" spans="1:6" ht="31.5" x14ac:dyDescent="0.2">
      <c r="A82" s="167" t="s">
        <v>48</v>
      </c>
      <c r="B82" s="167" t="s">
        <v>985</v>
      </c>
    </row>
    <row r="83" spans="1:6" ht="61.5" customHeight="1" x14ac:dyDescent="0.2">
      <c r="A83" s="166" t="s">
        <v>162</v>
      </c>
      <c r="B83" s="166" t="s">
        <v>1138</v>
      </c>
    </row>
    <row r="84" spans="1:6" s="100" customFormat="1" ht="49.5" customHeight="1" x14ac:dyDescent="0.2">
      <c r="A84" s="170" t="s">
        <v>890</v>
      </c>
      <c r="B84" s="170" t="s">
        <v>986</v>
      </c>
      <c r="C84" s="408"/>
    </row>
    <row r="85" spans="1:6" ht="130.5" customHeight="1" x14ac:dyDescent="0.2">
      <c r="A85" s="166" t="s">
        <v>351</v>
      </c>
      <c r="B85" s="166" t="s">
        <v>1048</v>
      </c>
    </row>
    <row r="86" spans="1:6" ht="49.5" customHeight="1" x14ac:dyDescent="0.2">
      <c r="A86" s="166" t="s">
        <v>262</v>
      </c>
      <c r="B86" s="166" t="s">
        <v>1139</v>
      </c>
    </row>
    <row r="87" spans="1:6" ht="37.5" customHeight="1" x14ac:dyDescent="0.2">
      <c r="A87" s="312" t="s">
        <v>836</v>
      </c>
      <c r="B87" s="312" t="s">
        <v>930</v>
      </c>
    </row>
    <row r="88" spans="1:6" ht="31.5" x14ac:dyDescent="0.2">
      <c r="A88" s="420" t="s">
        <v>37</v>
      </c>
      <c r="B88" s="420" t="s">
        <v>833</v>
      </c>
    </row>
    <row r="89" spans="1:6" ht="66.75" customHeight="1" x14ac:dyDescent="0.2">
      <c r="A89" s="166" t="s">
        <v>287</v>
      </c>
      <c r="B89" s="239" t="s">
        <v>774</v>
      </c>
    </row>
    <row r="90" spans="1:6" ht="31.5" x14ac:dyDescent="0.2">
      <c r="A90" s="166" t="s">
        <v>535</v>
      </c>
      <c r="B90" s="166" t="s">
        <v>728</v>
      </c>
    </row>
    <row r="91" spans="1:6" ht="31.5" x14ac:dyDescent="0.2">
      <c r="A91" s="166" t="s">
        <v>536</v>
      </c>
      <c r="B91" s="166" t="s">
        <v>931</v>
      </c>
      <c r="C91" s="403"/>
    </row>
  </sheetData>
  <mergeCells count="1">
    <mergeCell ref="A1:B1"/>
  </mergeCells>
  <phoneticPr fontId="8"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59"/>
  <sheetViews>
    <sheetView zoomScaleNormal="100" workbookViewId="0">
      <pane xSplit="1" ySplit="2" topLeftCell="B6" activePane="bottomRight" state="frozen"/>
      <selection pane="topRight" activeCell="B1" sqref="B1"/>
      <selection pane="bottomLeft" activeCell="A3" sqref="A3"/>
      <selection pane="bottomRight" activeCell="A2" sqref="A2"/>
    </sheetView>
  </sheetViews>
  <sheetFormatPr defaultColWidth="9.140625" defaultRowHeight="15.75" x14ac:dyDescent="0.2"/>
  <cols>
    <col min="1" max="1" width="11.85546875" style="100" customWidth="1"/>
    <col min="2" max="2" width="40.7109375" style="103" customWidth="1"/>
    <col min="3" max="3" width="163.140625" style="101" customWidth="1"/>
    <col min="4" max="4" width="22" style="100" customWidth="1"/>
    <col min="5" max="5" width="13.5703125" style="100" customWidth="1"/>
    <col min="6" max="16384" width="9.140625" style="100"/>
  </cols>
  <sheetData>
    <row r="1" spans="1:8" ht="42" customHeight="1" thickBot="1" x14ac:dyDescent="0.25">
      <c r="A1" s="864" t="s">
        <v>952</v>
      </c>
      <c r="B1" s="866"/>
      <c r="C1" s="865"/>
    </row>
    <row r="2" spans="1:8" s="115" customFormat="1" ht="47.25" x14ac:dyDescent="0.2">
      <c r="A2" s="114" t="s">
        <v>227</v>
      </c>
      <c r="B2" s="340" t="s">
        <v>49</v>
      </c>
      <c r="C2" s="165" t="s">
        <v>50</v>
      </c>
    </row>
    <row r="3" spans="1:8" ht="38.25" customHeight="1" x14ac:dyDescent="0.2">
      <c r="A3" s="148" t="s">
        <v>226</v>
      </c>
      <c r="B3" s="341" t="s">
        <v>1090</v>
      </c>
      <c r="C3" s="167" t="s">
        <v>1109</v>
      </c>
    </row>
    <row r="4" spans="1:8" s="110" customFormat="1" ht="106.5" customHeight="1" x14ac:dyDescent="0.2">
      <c r="A4" s="148" t="s">
        <v>220</v>
      </c>
      <c r="B4" s="341" t="s">
        <v>732</v>
      </c>
      <c r="C4" s="167" t="s">
        <v>1163</v>
      </c>
      <c r="D4" s="411"/>
      <c r="E4" s="412"/>
    </row>
    <row r="5" spans="1:8" s="110" customFormat="1" ht="46.5" customHeight="1" x14ac:dyDescent="0.2">
      <c r="A5" s="148" t="s">
        <v>69</v>
      </c>
      <c r="B5" s="341" t="s">
        <v>738</v>
      </c>
      <c r="C5" s="344" t="s">
        <v>1127</v>
      </c>
    </row>
    <row r="6" spans="1:8" ht="71.25" customHeight="1" x14ac:dyDescent="0.2">
      <c r="A6" s="148" t="s">
        <v>27</v>
      </c>
      <c r="B6" s="342" t="s">
        <v>906</v>
      </c>
      <c r="C6" s="167" t="s">
        <v>953</v>
      </c>
    </row>
    <row r="7" spans="1:8" ht="63" x14ac:dyDescent="0.2">
      <c r="A7" s="148" t="s">
        <v>301</v>
      </c>
      <c r="B7" s="342" t="s">
        <v>1111</v>
      </c>
      <c r="C7" s="183" t="s">
        <v>1063</v>
      </c>
    </row>
    <row r="8" spans="1:8" ht="106.5" customHeight="1" x14ac:dyDescent="0.25">
      <c r="A8" s="148" t="s">
        <v>19</v>
      </c>
      <c r="B8" s="341" t="s">
        <v>1189</v>
      </c>
      <c r="C8" s="167" t="s">
        <v>1190</v>
      </c>
      <c r="D8" s="428" t="s">
        <v>1191</v>
      </c>
    </row>
    <row r="9" spans="1:8" ht="33.75" customHeight="1" x14ac:dyDescent="0.2">
      <c r="A9" s="148" t="s">
        <v>219</v>
      </c>
      <c r="B9" s="341" t="s">
        <v>244</v>
      </c>
      <c r="C9" s="167" t="s">
        <v>245</v>
      </c>
      <c r="D9" s="382"/>
    </row>
    <row r="10" spans="1:8" ht="42" customHeight="1" x14ac:dyDescent="0.2">
      <c r="A10" s="148" t="s">
        <v>810</v>
      </c>
      <c r="B10" s="341" t="s">
        <v>1112</v>
      </c>
      <c r="C10" s="167" t="s">
        <v>1113</v>
      </c>
      <c r="D10" s="398"/>
      <c r="E10" s="399"/>
      <c r="F10" s="399"/>
      <c r="G10" s="399"/>
      <c r="H10" s="399"/>
    </row>
    <row r="11" spans="1:8" ht="75" customHeight="1" x14ac:dyDescent="0.2">
      <c r="A11" s="148" t="s">
        <v>159</v>
      </c>
      <c r="B11" s="341" t="s">
        <v>954</v>
      </c>
      <c r="C11" s="167" t="s">
        <v>1114</v>
      </c>
      <c r="D11" s="202"/>
    </row>
    <row r="12" spans="1:8" ht="63" x14ac:dyDescent="0.2">
      <c r="A12" s="148" t="s">
        <v>20</v>
      </c>
      <c r="B12" s="342" t="s">
        <v>1116</v>
      </c>
      <c r="C12" s="167" t="s">
        <v>1115</v>
      </c>
      <c r="D12" s="202"/>
    </row>
    <row r="13" spans="1:8" ht="47.25" x14ac:dyDescent="0.2">
      <c r="A13" s="148" t="s">
        <v>176</v>
      </c>
      <c r="B13" s="341" t="s">
        <v>1119</v>
      </c>
      <c r="C13" s="167" t="s">
        <v>1117</v>
      </c>
    </row>
    <row r="14" spans="1:8" ht="63" x14ac:dyDescent="0.2">
      <c r="A14" s="148" t="s">
        <v>261</v>
      </c>
      <c r="B14" s="341" t="s">
        <v>1091</v>
      </c>
      <c r="C14" s="167" t="s">
        <v>955</v>
      </c>
    </row>
    <row r="15" spans="1:8" ht="41.25" customHeight="1" x14ac:dyDescent="0.2">
      <c r="A15" s="148" t="s">
        <v>21</v>
      </c>
      <c r="B15" s="341" t="s">
        <v>1118</v>
      </c>
      <c r="C15" s="167" t="s">
        <v>1166</v>
      </c>
    </row>
    <row r="16" spans="1:8" ht="72.75" customHeight="1" x14ac:dyDescent="0.2">
      <c r="A16" s="148" t="s">
        <v>247</v>
      </c>
      <c r="B16" s="341" t="s">
        <v>1064</v>
      </c>
      <c r="C16" s="167" t="s">
        <v>1071</v>
      </c>
    </row>
    <row r="17" spans="1:8" ht="54" customHeight="1" x14ac:dyDescent="0.2">
      <c r="A17" s="148" t="s">
        <v>300</v>
      </c>
      <c r="B17" s="341" t="s">
        <v>1052</v>
      </c>
      <c r="C17" s="167" t="s">
        <v>1120</v>
      </c>
    </row>
    <row r="18" spans="1:8" ht="40.5" customHeight="1" x14ac:dyDescent="0.2">
      <c r="A18" s="148" t="s">
        <v>200</v>
      </c>
      <c r="B18" s="341" t="s">
        <v>146</v>
      </c>
      <c r="C18" s="167" t="s">
        <v>798</v>
      </c>
    </row>
    <row r="19" spans="1:8" ht="42.75" customHeight="1" x14ac:dyDescent="0.2">
      <c r="A19" s="148" t="s">
        <v>372</v>
      </c>
      <c r="B19" s="341" t="s">
        <v>956</v>
      </c>
      <c r="C19" s="167" t="s">
        <v>1167</v>
      </c>
    </row>
    <row r="20" spans="1:8" ht="41.25" customHeight="1" x14ac:dyDescent="0.2">
      <c r="A20" s="148" t="s">
        <v>22</v>
      </c>
      <c r="B20" s="341" t="s">
        <v>923</v>
      </c>
      <c r="C20" s="167" t="s">
        <v>957</v>
      </c>
    </row>
    <row r="21" spans="1:8" ht="57" customHeight="1" x14ac:dyDescent="0.2">
      <c r="A21" s="148" t="s">
        <v>744</v>
      </c>
      <c r="B21" s="341" t="s">
        <v>1140</v>
      </c>
      <c r="C21" s="183" t="s">
        <v>1122</v>
      </c>
    </row>
    <row r="22" spans="1:8" ht="38.25" customHeight="1" x14ac:dyDescent="0.2">
      <c r="A22" s="148" t="s">
        <v>745</v>
      </c>
      <c r="B22" s="341" t="s">
        <v>1121</v>
      </c>
      <c r="C22" s="183" t="s">
        <v>739</v>
      </c>
    </row>
    <row r="23" spans="1:8" ht="23.25" customHeight="1" x14ac:dyDescent="0.2">
      <c r="A23" s="148" t="s">
        <v>746</v>
      </c>
      <c r="B23" s="341" t="s">
        <v>740</v>
      </c>
      <c r="C23" s="183" t="s">
        <v>741</v>
      </c>
    </row>
    <row r="24" spans="1:8" ht="31.5" x14ac:dyDescent="0.2">
      <c r="A24" s="148" t="s">
        <v>747</v>
      </c>
      <c r="B24" s="341" t="s">
        <v>742</v>
      </c>
      <c r="C24" s="183" t="s">
        <v>743</v>
      </c>
      <c r="D24" s="180"/>
    </row>
    <row r="25" spans="1:8" ht="72.75" customHeight="1" x14ac:dyDescent="0.2">
      <c r="A25" s="148" t="s">
        <v>23</v>
      </c>
      <c r="B25" s="342" t="s">
        <v>1123</v>
      </c>
      <c r="C25" s="183" t="s">
        <v>1141</v>
      </c>
      <c r="D25" s="180"/>
    </row>
    <row r="26" spans="1:8" ht="78.75" x14ac:dyDescent="0.2">
      <c r="A26" s="421" t="s">
        <v>349</v>
      </c>
      <c r="B26" s="422" t="s">
        <v>1175</v>
      </c>
      <c r="C26" s="423" t="s">
        <v>1142</v>
      </c>
    </row>
    <row r="27" spans="1:8" ht="51.75" customHeight="1" x14ac:dyDescent="0.2">
      <c r="A27" s="424" t="s">
        <v>333</v>
      </c>
      <c r="B27" s="418" t="s">
        <v>1172</v>
      </c>
      <c r="C27" s="425" t="s">
        <v>1173</v>
      </c>
    </row>
    <row r="28" spans="1:8" ht="25.5" customHeight="1" x14ac:dyDescent="0.2">
      <c r="A28" s="148" t="s">
        <v>44</v>
      </c>
      <c r="B28" s="342" t="s">
        <v>907</v>
      </c>
      <c r="C28" s="183" t="s">
        <v>908</v>
      </c>
      <c r="H28" s="100" t="s">
        <v>161</v>
      </c>
    </row>
    <row r="29" spans="1:8" ht="141.75" x14ac:dyDescent="0.2">
      <c r="A29" s="148" t="s">
        <v>46</v>
      </c>
      <c r="B29" s="341" t="s">
        <v>1126</v>
      </c>
      <c r="C29" s="167" t="s">
        <v>958</v>
      </c>
    </row>
    <row r="30" spans="1:8" ht="28.5" customHeight="1" x14ac:dyDescent="0.2">
      <c r="A30" s="148" t="s">
        <v>45</v>
      </c>
      <c r="B30" s="342" t="s">
        <v>775</v>
      </c>
      <c r="C30" s="167" t="s">
        <v>959</v>
      </c>
      <c r="D30" s="180"/>
    </row>
    <row r="31" spans="1:8" ht="39.75" customHeight="1" x14ac:dyDescent="0.2">
      <c r="A31" s="148" t="s">
        <v>47</v>
      </c>
      <c r="B31" s="341" t="s">
        <v>951</v>
      </c>
      <c r="C31" s="167" t="s">
        <v>1147</v>
      </c>
    </row>
    <row r="32" spans="1:8" s="399" customFormat="1" ht="39.75" customHeight="1" x14ac:dyDescent="0.2">
      <c r="A32" s="424" t="s">
        <v>1171</v>
      </c>
      <c r="B32" s="418" t="s">
        <v>1174</v>
      </c>
      <c r="C32" s="425" t="s">
        <v>1177</v>
      </c>
    </row>
    <row r="33" spans="1:4" ht="57" customHeight="1" x14ac:dyDescent="0.2">
      <c r="A33" s="148" t="s">
        <v>160</v>
      </c>
      <c r="B33" s="341" t="s">
        <v>922</v>
      </c>
      <c r="C33" s="344" t="s">
        <v>960</v>
      </c>
    </row>
    <row r="34" spans="1:4" ht="51" customHeight="1" x14ac:dyDescent="0.2">
      <c r="A34" s="148" t="s">
        <v>162</v>
      </c>
      <c r="B34" s="341"/>
      <c r="C34" s="167" t="s">
        <v>961</v>
      </c>
      <c r="D34" s="180"/>
    </row>
    <row r="35" spans="1:4" ht="70.5" customHeight="1" x14ac:dyDescent="0.2">
      <c r="A35" s="148" t="s">
        <v>277</v>
      </c>
      <c r="B35" s="343"/>
      <c r="C35" s="344" t="s">
        <v>1164</v>
      </c>
    </row>
    <row r="36" spans="1:4" ht="40.5" customHeight="1" x14ac:dyDescent="0.2">
      <c r="A36" s="148" t="s">
        <v>262</v>
      </c>
      <c r="B36" s="343" t="s">
        <v>1183</v>
      </c>
      <c r="C36" s="344" t="s">
        <v>1165</v>
      </c>
    </row>
    <row r="37" spans="1:4" ht="48.75" customHeight="1" x14ac:dyDescent="0.2">
      <c r="A37" s="421" t="s">
        <v>37</v>
      </c>
      <c r="B37" s="422" t="s">
        <v>1181</v>
      </c>
      <c r="C37" s="423" t="s">
        <v>1182</v>
      </c>
    </row>
    <row r="38" spans="1:4" ht="108" customHeight="1" x14ac:dyDescent="0.2">
      <c r="A38" s="148" t="s">
        <v>287</v>
      </c>
      <c r="B38" s="341" t="s">
        <v>962</v>
      </c>
      <c r="C38" s="167" t="s">
        <v>1143</v>
      </c>
      <c r="D38" s="180"/>
    </row>
    <row r="39" spans="1:4" ht="38.25" customHeight="1" x14ac:dyDescent="0.2">
      <c r="A39" s="148" t="s">
        <v>287</v>
      </c>
      <c r="B39" s="341" t="s">
        <v>912</v>
      </c>
      <c r="C39" s="344" t="s">
        <v>1124</v>
      </c>
    </row>
    <row r="40" spans="1:4" ht="39" customHeight="1" x14ac:dyDescent="0.2">
      <c r="A40" s="368" t="s">
        <v>287</v>
      </c>
      <c r="B40" s="369" t="s">
        <v>733</v>
      </c>
      <c r="C40" s="370" t="s">
        <v>1125</v>
      </c>
    </row>
    <row r="41" spans="1:4" ht="31.5" x14ac:dyDescent="0.2">
      <c r="A41" s="371" t="s">
        <v>535</v>
      </c>
      <c r="B41" s="372" t="s">
        <v>1144</v>
      </c>
      <c r="C41" s="372" t="s">
        <v>1168</v>
      </c>
    </row>
    <row r="42" spans="1:4" ht="31.5" x14ac:dyDescent="0.2">
      <c r="A42" s="371" t="s">
        <v>536</v>
      </c>
      <c r="B42" s="372" t="s">
        <v>1066</v>
      </c>
      <c r="C42" s="372" t="s">
        <v>1168</v>
      </c>
    </row>
    <row r="43" spans="1:4" x14ac:dyDescent="0.2">
      <c r="B43" s="102"/>
    </row>
    <row r="44" spans="1:4" x14ac:dyDescent="0.2">
      <c r="B44" s="102"/>
    </row>
    <row r="45" spans="1:4" x14ac:dyDescent="0.2">
      <c r="B45" s="102"/>
    </row>
    <row r="46" spans="1:4" x14ac:dyDescent="0.2">
      <c r="B46" s="102"/>
    </row>
    <row r="47" spans="1:4" x14ac:dyDescent="0.2">
      <c r="B47" s="102"/>
    </row>
    <row r="48" spans="1:4" x14ac:dyDescent="0.2">
      <c r="B48" s="356"/>
    </row>
    <row r="49" spans="2:2" x14ac:dyDescent="0.2">
      <c r="B49" s="102"/>
    </row>
    <row r="50" spans="2:2" x14ac:dyDescent="0.2">
      <c r="B50" s="102"/>
    </row>
    <row r="51" spans="2:2" x14ac:dyDescent="0.2">
      <c r="B51" s="102"/>
    </row>
    <row r="52" spans="2:2" x14ac:dyDescent="0.2">
      <c r="B52" s="102"/>
    </row>
    <row r="53" spans="2:2" x14ac:dyDescent="0.2">
      <c r="B53" s="102"/>
    </row>
    <row r="54" spans="2:2" x14ac:dyDescent="0.2">
      <c r="B54" s="102"/>
    </row>
    <row r="55" spans="2:2" x14ac:dyDescent="0.2">
      <c r="B55" s="102"/>
    </row>
    <row r="56" spans="2:2" x14ac:dyDescent="0.2">
      <c r="B56" s="102"/>
    </row>
    <row r="57" spans="2:2" x14ac:dyDescent="0.2">
      <c r="B57" s="102"/>
    </row>
    <row r="58" spans="2:2" x14ac:dyDescent="0.2">
      <c r="B58" s="102"/>
    </row>
    <row r="59" spans="2:2" x14ac:dyDescent="0.2">
      <c r="B59" s="102"/>
    </row>
  </sheetData>
  <mergeCells count="1">
    <mergeCell ref="A1:C1"/>
  </mergeCells>
  <phoneticPr fontId="8" type="noConversion"/>
  <printOptions gridLines="1"/>
  <pageMargins left="0.47244094488188981" right="0.19685039370078741" top="0.51181102362204722" bottom="0.43307086614173229" header="0.39370078740157483" footer="0.27559055118110237"/>
  <pageSetup paperSize="9" scale="67"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A2" sqref="A2"/>
    </sheetView>
  </sheetViews>
  <sheetFormatPr defaultRowHeight="12.75" x14ac:dyDescent="0.2"/>
  <cols>
    <col min="2" max="2" width="56.85546875" customWidth="1"/>
    <col min="3" max="3" width="22" customWidth="1"/>
  </cols>
  <sheetData>
    <row r="1" spans="1:4" ht="30.75" customHeight="1" thickBot="1" x14ac:dyDescent="0.25">
      <c r="A1" s="867" t="s">
        <v>856</v>
      </c>
      <c r="B1" s="868"/>
      <c r="C1" s="869"/>
    </row>
    <row r="2" spans="1:4" ht="29.25" customHeight="1" thickBot="1" x14ac:dyDescent="0.25">
      <c r="A2" s="281" t="s">
        <v>837</v>
      </c>
      <c r="B2" s="282" t="s">
        <v>838</v>
      </c>
      <c r="C2" s="283" t="s">
        <v>839</v>
      </c>
    </row>
    <row r="3" spans="1:4" ht="24" customHeight="1" x14ac:dyDescent="0.2">
      <c r="A3" s="280">
        <v>1</v>
      </c>
      <c r="B3" s="299" t="s">
        <v>847</v>
      </c>
      <c r="C3" s="284">
        <v>38623</v>
      </c>
    </row>
    <row r="4" spans="1:4" ht="24" customHeight="1" x14ac:dyDescent="0.2">
      <c r="A4" s="278">
        <v>4</v>
      </c>
      <c r="B4" s="298" t="s">
        <v>846</v>
      </c>
      <c r="C4" s="285">
        <v>39326</v>
      </c>
    </row>
    <row r="5" spans="1:4" ht="24" customHeight="1" x14ac:dyDescent="0.2">
      <c r="A5" s="278">
        <v>5</v>
      </c>
      <c r="B5" s="298" t="s">
        <v>841</v>
      </c>
      <c r="C5" s="285">
        <v>39326</v>
      </c>
    </row>
    <row r="6" spans="1:4" ht="24" customHeight="1" x14ac:dyDescent="0.2">
      <c r="A6" s="278">
        <v>6</v>
      </c>
      <c r="B6" s="298" t="s">
        <v>844</v>
      </c>
      <c r="C6" s="285">
        <v>39326</v>
      </c>
    </row>
    <row r="7" spans="1:4" ht="32.25" customHeight="1" x14ac:dyDescent="0.2">
      <c r="A7" s="278">
        <v>7</v>
      </c>
      <c r="B7" s="298" t="s">
        <v>843</v>
      </c>
      <c r="C7" s="285">
        <v>39326</v>
      </c>
    </row>
    <row r="8" spans="1:4" ht="24" customHeight="1" x14ac:dyDescent="0.2">
      <c r="A8" s="278">
        <v>8</v>
      </c>
      <c r="B8" s="298" t="s">
        <v>842</v>
      </c>
      <c r="C8" s="285">
        <v>39326</v>
      </c>
    </row>
    <row r="9" spans="1:4" ht="24" customHeight="1" x14ac:dyDescent="0.2">
      <c r="A9" s="278">
        <v>9</v>
      </c>
      <c r="B9" s="277" t="s">
        <v>849</v>
      </c>
      <c r="C9" s="285">
        <v>39326</v>
      </c>
    </row>
    <row r="10" spans="1:4" ht="24" customHeight="1" x14ac:dyDescent="0.2">
      <c r="A10" s="278">
        <v>10</v>
      </c>
      <c r="B10" s="297" t="s">
        <v>854</v>
      </c>
      <c r="C10" s="285">
        <v>40245</v>
      </c>
      <c r="D10" s="278" t="s">
        <v>859</v>
      </c>
    </row>
    <row r="11" spans="1:4" ht="24" customHeight="1" x14ac:dyDescent="0.2">
      <c r="A11" s="278">
        <v>11</v>
      </c>
      <c r="B11" s="297" t="s">
        <v>853</v>
      </c>
      <c r="C11" s="285">
        <v>40245</v>
      </c>
      <c r="D11" s="278" t="s">
        <v>859</v>
      </c>
    </row>
    <row r="12" spans="1:4" ht="24" customHeight="1" x14ac:dyDescent="0.2">
      <c r="A12" s="278">
        <v>12</v>
      </c>
      <c r="B12" s="297" t="s">
        <v>852</v>
      </c>
      <c r="C12" s="285">
        <v>40245</v>
      </c>
      <c r="D12" s="278" t="s">
        <v>859</v>
      </c>
    </row>
    <row r="13" spans="1:4" ht="24" customHeight="1" x14ac:dyDescent="0.2">
      <c r="A13" s="278">
        <v>13</v>
      </c>
      <c r="B13" s="297" t="s">
        <v>851</v>
      </c>
      <c r="C13" s="285">
        <v>40245</v>
      </c>
      <c r="D13" s="278" t="s">
        <v>859</v>
      </c>
    </row>
    <row r="14" spans="1:4" ht="24" customHeight="1" x14ac:dyDescent="0.2">
      <c r="A14" s="278">
        <v>14</v>
      </c>
      <c r="B14" s="297" t="s">
        <v>840</v>
      </c>
      <c r="C14" s="285">
        <v>40245</v>
      </c>
      <c r="D14" s="278" t="s">
        <v>859</v>
      </c>
    </row>
    <row r="15" spans="1:4" ht="24" customHeight="1" x14ac:dyDescent="0.2">
      <c r="A15" s="278">
        <v>15</v>
      </c>
      <c r="B15" s="297" t="s">
        <v>855</v>
      </c>
      <c r="C15" s="285">
        <v>40245</v>
      </c>
      <c r="D15" s="278" t="s">
        <v>859</v>
      </c>
    </row>
    <row r="16" spans="1:4" ht="24" customHeight="1" x14ac:dyDescent="0.2">
      <c r="A16" s="278">
        <v>16</v>
      </c>
      <c r="B16" s="297" t="s">
        <v>862</v>
      </c>
      <c r="C16" s="285">
        <v>40245</v>
      </c>
      <c r="D16" s="278" t="s">
        <v>859</v>
      </c>
    </row>
    <row r="17" spans="1:4" ht="24" customHeight="1" x14ac:dyDescent="0.2">
      <c r="A17" s="278">
        <v>17</v>
      </c>
      <c r="B17" s="297" t="s">
        <v>848</v>
      </c>
      <c r="C17" s="285">
        <v>40245</v>
      </c>
      <c r="D17" s="278" t="s">
        <v>859</v>
      </c>
    </row>
    <row r="18" spans="1:4" ht="24" customHeight="1" x14ac:dyDescent="0.2">
      <c r="A18" s="278">
        <v>18</v>
      </c>
      <c r="B18" s="277" t="s">
        <v>850</v>
      </c>
      <c r="C18" s="285">
        <v>40245</v>
      </c>
    </row>
    <row r="19" spans="1:4" ht="24" customHeight="1" thickBot="1" x14ac:dyDescent="0.25">
      <c r="A19" s="279">
        <v>19</v>
      </c>
      <c r="B19" s="298" t="s">
        <v>845</v>
      </c>
      <c r="C19" s="286">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3"/>
  <sheetViews>
    <sheetView zoomScale="85" zoomScaleNormal="85" workbookViewId="0">
      <pane xSplit="2" ySplit="4" topLeftCell="C5" activePane="bottomRight" state="frozen"/>
      <selection pane="topRight" activeCell="C1" sqref="C1"/>
      <selection pane="bottomLeft" activeCell="A5" sqref="A5"/>
      <selection pane="bottomRight" activeCell="F6" sqref="F6:H21"/>
    </sheetView>
  </sheetViews>
  <sheetFormatPr defaultColWidth="9.140625" defaultRowHeight="15.75" x14ac:dyDescent="0.2"/>
  <cols>
    <col min="1" max="1" width="9.140625" style="24" customWidth="1"/>
    <col min="2" max="2" width="77.85546875" style="50" customWidth="1"/>
    <col min="3" max="5" width="17.42578125" style="19" customWidth="1"/>
    <col min="6" max="6" width="12.42578125" style="19" customWidth="1"/>
    <col min="7" max="7" width="15" style="19" customWidth="1"/>
    <col min="8" max="16384" width="9.140625" style="19"/>
  </cols>
  <sheetData>
    <row r="1" spans="1:7" s="18" customFormat="1" ht="87" customHeight="1" thickBot="1" x14ac:dyDescent="0.25">
      <c r="A1" s="870" t="s">
        <v>987</v>
      </c>
      <c r="B1" s="871"/>
      <c r="C1" s="871"/>
      <c r="D1" s="871"/>
      <c r="E1" s="872"/>
    </row>
    <row r="2" spans="1:7" s="18" customFormat="1" ht="35.1" customHeight="1" x14ac:dyDescent="0.2">
      <c r="A2" s="873" t="s">
        <v>1321</v>
      </c>
      <c r="B2" s="874"/>
      <c r="C2" s="874"/>
      <c r="D2" s="874"/>
      <c r="E2" s="875"/>
    </row>
    <row r="3" spans="1:7" ht="43.5" customHeight="1" x14ac:dyDescent="0.2">
      <c r="A3" s="429" t="s">
        <v>208</v>
      </c>
      <c r="B3" s="432" t="s">
        <v>207</v>
      </c>
      <c r="C3" s="431" t="s">
        <v>307</v>
      </c>
      <c r="D3" s="431" t="s">
        <v>308</v>
      </c>
      <c r="E3" s="35" t="s">
        <v>230</v>
      </c>
    </row>
    <row r="4" spans="1:7" ht="17.25" customHeight="1" x14ac:dyDescent="0.2">
      <c r="A4" s="31"/>
      <c r="B4" s="304"/>
      <c r="C4" s="38" t="s">
        <v>289</v>
      </c>
      <c r="D4" s="38" t="s">
        <v>290</v>
      </c>
      <c r="E4" s="39" t="s">
        <v>30</v>
      </c>
    </row>
    <row r="5" spans="1:7" x14ac:dyDescent="0.2">
      <c r="A5" s="31">
        <v>1</v>
      </c>
      <c r="B5" s="304" t="s">
        <v>367</v>
      </c>
      <c r="C5" s="505">
        <f>C6</f>
        <v>41929435</v>
      </c>
      <c r="D5" s="505">
        <f>D6</f>
        <v>150000</v>
      </c>
      <c r="E5" s="506">
        <f t="shared" ref="E5:E6" si="0">SUM(C5:D5)</f>
        <v>42079435</v>
      </c>
    </row>
    <row r="6" spans="1:7" x14ac:dyDescent="0.2">
      <c r="A6" s="31">
        <f>A5+1</f>
        <v>2</v>
      </c>
      <c r="B6" s="27" t="s">
        <v>271</v>
      </c>
      <c r="C6" s="443">
        <v>41929435</v>
      </c>
      <c r="D6" s="443">
        <v>150000</v>
      </c>
      <c r="E6" s="506">
        <f t="shared" si="0"/>
        <v>42079435</v>
      </c>
      <c r="G6" s="682"/>
    </row>
    <row r="7" spans="1:7" ht="15.75" customHeight="1" x14ac:dyDescent="0.2">
      <c r="A7" s="31">
        <f>A6+1</f>
        <v>3</v>
      </c>
      <c r="B7" s="304" t="s">
        <v>368</v>
      </c>
      <c r="C7" s="505">
        <f>SUM(C8:C12)</f>
        <v>15706980</v>
      </c>
      <c r="D7" s="505">
        <f>SUM(D8:D12)</f>
        <v>0</v>
      </c>
      <c r="E7" s="506">
        <f>SUM(C7:D7)</f>
        <v>15706980</v>
      </c>
    </row>
    <row r="8" spans="1:7" x14ac:dyDescent="0.2">
      <c r="A8" s="31">
        <f t="shared" ref="A8:A19" si="1">A7+1</f>
        <v>4</v>
      </c>
      <c r="B8" s="27" t="s">
        <v>272</v>
      </c>
      <c r="C8" s="443">
        <v>13840450</v>
      </c>
      <c r="D8" s="736" t="s">
        <v>320</v>
      </c>
      <c r="E8" s="506">
        <f t="shared" ref="E8:E19" si="2">SUM(C8:D8)</f>
        <v>13840450</v>
      </c>
      <c r="G8" s="682"/>
    </row>
    <row r="9" spans="1:7" x14ac:dyDescent="0.2">
      <c r="A9" s="31">
        <f t="shared" si="1"/>
        <v>5</v>
      </c>
      <c r="B9" s="27" t="s">
        <v>273</v>
      </c>
      <c r="C9" s="443">
        <v>1671617</v>
      </c>
      <c r="D9" s="736" t="s">
        <v>320</v>
      </c>
      <c r="E9" s="506">
        <f t="shared" si="2"/>
        <v>1671617</v>
      </c>
    </row>
    <row r="10" spans="1:7" x14ac:dyDescent="0.2">
      <c r="A10" s="31">
        <f t="shared" si="1"/>
        <v>6</v>
      </c>
      <c r="B10" s="27" t="s">
        <v>274</v>
      </c>
      <c r="C10" s="736" t="s">
        <v>320</v>
      </c>
      <c r="D10" s="736" t="s">
        <v>320</v>
      </c>
      <c r="E10" s="506">
        <f t="shared" si="2"/>
        <v>0</v>
      </c>
    </row>
    <row r="11" spans="1:7" x14ac:dyDescent="0.2">
      <c r="A11" s="31">
        <f t="shared" si="1"/>
        <v>7</v>
      </c>
      <c r="B11" s="27" t="s">
        <v>275</v>
      </c>
      <c r="C11" s="736" t="s">
        <v>320</v>
      </c>
      <c r="D11" s="736" t="s">
        <v>320</v>
      </c>
      <c r="E11" s="506">
        <f t="shared" si="2"/>
        <v>0</v>
      </c>
    </row>
    <row r="12" spans="1:7" x14ac:dyDescent="0.2">
      <c r="A12" s="31">
        <f t="shared" si="1"/>
        <v>8</v>
      </c>
      <c r="B12" s="27" t="s">
        <v>147</v>
      </c>
      <c r="C12" s="443">
        <v>194913</v>
      </c>
      <c r="D12" s="736" t="s">
        <v>320</v>
      </c>
      <c r="E12" s="506">
        <f t="shared" si="2"/>
        <v>194913</v>
      </c>
    </row>
    <row r="13" spans="1:7" ht="15.75" customHeight="1" x14ac:dyDescent="0.2">
      <c r="A13" s="31">
        <f t="shared" si="1"/>
        <v>9</v>
      </c>
      <c r="B13" s="304" t="s">
        <v>369</v>
      </c>
      <c r="C13" s="505">
        <f>C14</f>
        <v>74600</v>
      </c>
      <c r="D13" s="505">
        <f>D14</f>
        <v>616500</v>
      </c>
      <c r="E13" s="506">
        <f t="shared" si="2"/>
        <v>691100</v>
      </c>
    </row>
    <row r="14" spans="1:7" x14ac:dyDescent="0.2">
      <c r="A14" s="31">
        <f t="shared" si="1"/>
        <v>10</v>
      </c>
      <c r="B14" s="27" t="s">
        <v>148</v>
      </c>
      <c r="C14" s="443">
        <v>74600</v>
      </c>
      <c r="D14" s="443">
        <v>616500</v>
      </c>
      <c r="E14" s="506">
        <f t="shared" si="2"/>
        <v>691100</v>
      </c>
    </row>
    <row r="15" spans="1:7" x14ac:dyDescent="0.2">
      <c r="A15" s="31">
        <f t="shared" si="1"/>
        <v>11</v>
      </c>
      <c r="B15" s="304" t="s">
        <v>370</v>
      </c>
      <c r="C15" s="505">
        <f>SUM(C16:C18)</f>
        <v>6973494</v>
      </c>
      <c r="D15" s="505">
        <f>SUM(D16:D18)</f>
        <v>0</v>
      </c>
      <c r="E15" s="506">
        <f t="shared" si="2"/>
        <v>6973494</v>
      </c>
    </row>
    <row r="16" spans="1:7" x14ac:dyDescent="0.2">
      <c r="A16" s="31">
        <f t="shared" si="1"/>
        <v>12</v>
      </c>
      <c r="B16" s="27" t="s">
        <v>149</v>
      </c>
      <c r="C16" s="443">
        <v>1605039</v>
      </c>
      <c r="D16" s="736" t="s">
        <v>320</v>
      </c>
      <c r="E16" s="506">
        <f t="shared" si="2"/>
        <v>1605039</v>
      </c>
    </row>
    <row r="17" spans="1:5" x14ac:dyDescent="0.2">
      <c r="A17" s="31">
        <f t="shared" si="1"/>
        <v>13</v>
      </c>
      <c r="B17" s="27" t="s">
        <v>150</v>
      </c>
      <c r="C17" s="443">
        <v>2000448</v>
      </c>
      <c r="D17" s="736" t="s">
        <v>320</v>
      </c>
      <c r="E17" s="506">
        <f t="shared" si="2"/>
        <v>2000448</v>
      </c>
    </row>
    <row r="18" spans="1:5" x14ac:dyDescent="0.2">
      <c r="A18" s="31">
        <f t="shared" si="1"/>
        <v>14</v>
      </c>
      <c r="B18" s="27" t="s">
        <v>151</v>
      </c>
      <c r="C18" s="443">
        <v>3368007</v>
      </c>
      <c r="D18" s="736" t="s">
        <v>320</v>
      </c>
      <c r="E18" s="506">
        <f t="shared" si="2"/>
        <v>3368007</v>
      </c>
    </row>
    <row r="19" spans="1:5" ht="16.5" thickBot="1" x14ac:dyDescent="0.25">
      <c r="A19" s="32">
        <f t="shared" si="1"/>
        <v>15</v>
      </c>
      <c r="B19" s="48" t="s">
        <v>371</v>
      </c>
      <c r="C19" s="737">
        <f>C5+C7+C13+C15</f>
        <v>64684509</v>
      </c>
      <c r="D19" s="737">
        <f>D5+D7+D13+D15</f>
        <v>766500</v>
      </c>
      <c r="E19" s="508">
        <f t="shared" si="2"/>
        <v>65451009</v>
      </c>
    </row>
    <row r="20" spans="1:5" x14ac:dyDescent="0.2">
      <c r="A20" s="20"/>
      <c r="B20" s="49"/>
      <c r="C20" s="22"/>
      <c r="D20" s="22"/>
    </row>
    <row r="21" spans="1:5" x14ac:dyDescent="0.2">
      <c r="A21" s="23"/>
      <c r="B21" s="116"/>
    </row>
    <row r="23" spans="1:5" x14ac:dyDescent="0.2">
      <c r="B23" s="50" t="s">
        <v>161</v>
      </c>
    </row>
  </sheetData>
  <sheetProtection selectLockedCells="1"/>
  <protectedRanges>
    <protectedRange sqref="C16 C14:D14 C6:D6 C18 C8:D12 D16:D18" name="Rozsah2"/>
    <protectedRange sqref="C19:D19" name="Rozsah1"/>
  </protectedRanges>
  <mergeCells count="2">
    <mergeCell ref="A1:E1"/>
    <mergeCell ref="A2:E2"/>
  </mergeCells>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K75"/>
  <sheetViews>
    <sheetView zoomScale="85" zoomScaleNormal="85" workbookViewId="0">
      <pane xSplit="2" ySplit="4" topLeftCell="C41" activePane="bottomRight" state="frozen"/>
      <selection pane="topRight" activeCell="C1" sqref="C1"/>
      <selection pane="bottomLeft" activeCell="A5" sqref="A5"/>
      <selection pane="bottomRight" activeCell="F62" sqref="F62"/>
    </sheetView>
  </sheetViews>
  <sheetFormatPr defaultColWidth="9.140625" defaultRowHeight="15.75" x14ac:dyDescent="0.25"/>
  <cols>
    <col min="1" max="1" width="10.140625" style="659" customWidth="1"/>
    <col min="2" max="2" width="83" style="654" customWidth="1"/>
    <col min="3" max="3" width="15.42578125" style="459" customWidth="1"/>
    <col min="4" max="4" width="14.28515625" style="459" customWidth="1"/>
    <col min="5" max="5" width="17" style="459" bestFit="1" customWidth="1"/>
    <col min="6" max="7" width="9.140625" style="1"/>
    <col min="8" max="8" width="15.140625" style="1" bestFit="1" customWidth="1"/>
    <col min="9" max="9" width="9.140625" style="1"/>
    <col min="10" max="10" width="10.42578125" style="1" bestFit="1" customWidth="1"/>
    <col min="11" max="11" width="13.85546875" style="1" bestFit="1" customWidth="1"/>
    <col min="12" max="16384" width="9.140625" style="1"/>
  </cols>
  <sheetData>
    <row r="1" spans="1:11" ht="50.1" customHeight="1" thickBot="1" x14ac:dyDescent="0.3">
      <c r="A1" s="876" t="s">
        <v>988</v>
      </c>
      <c r="B1" s="877"/>
      <c r="C1" s="877"/>
      <c r="D1" s="877"/>
      <c r="E1" s="878"/>
      <c r="F1" s="7"/>
      <c r="G1" s="7"/>
    </row>
    <row r="2" spans="1:11" s="18" customFormat="1" ht="38.25" customHeight="1" x14ac:dyDescent="0.2">
      <c r="A2" s="873" t="s">
        <v>1321</v>
      </c>
      <c r="B2" s="874"/>
      <c r="C2" s="874"/>
      <c r="D2" s="874"/>
      <c r="E2" s="875"/>
    </row>
    <row r="3" spans="1:11" s="10" customFormat="1" ht="35.25" customHeight="1" x14ac:dyDescent="0.25">
      <c r="A3" s="462" t="s">
        <v>208</v>
      </c>
      <c r="B3" s="466" t="s">
        <v>335</v>
      </c>
      <c r="C3" s="466" t="s">
        <v>307</v>
      </c>
      <c r="D3" s="466" t="s">
        <v>308</v>
      </c>
      <c r="E3" s="468" t="s">
        <v>230</v>
      </c>
    </row>
    <row r="4" spans="1:11" s="19" customFormat="1" ht="17.25" customHeight="1" x14ac:dyDescent="0.25">
      <c r="A4" s="476"/>
      <c r="B4" s="642"/>
      <c r="C4" s="643" t="s">
        <v>289</v>
      </c>
      <c r="D4" s="643" t="s">
        <v>290</v>
      </c>
      <c r="E4" s="644" t="s">
        <v>30</v>
      </c>
      <c r="G4" s="10"/>
      <c r="H4" s="10"/>
      <c r="I4" s="10"/>
      <c r="J4" s="10"/>
      <c r="K4" s="10"/>
    </row>
    <row r="5" spans="1:11" ht="31.5" x14ac:dyDescent="0.25">
      <c r="A5" s="645">
        <v>1</v>
      </c>
      <c r="B5" s="646" t="s">
        <v>779</v>
      </c>
      <c r="C5" s="482">
        <f>SUM(C6:C26)</f>
        <v>978017</v>
      </c>
      <c r="D5" s="482">
        <f>D9</f>
        <v>12346.76</v>
      </c>
      <c r="E5" s="647">
        <f>C5+D5</f>
        <v>990363.76</v>
      </c>
      <c r="G5" s="19"/>
      <c r="H5" s="19"/>
      <c r="I5" s="19"/>
      <c r="J5" s="19"/>
      <c r="K5" s="19"/>
    </row>
    <row r="6" spans="1:11" x14ac:dyDescent="0.25">
      <c r="A6" s="645" t="s">
        <v>324</v>
      </c>
      <c r="B6" s="648" t="s">
        <v>1215</v>
      </c>
      <c r="C6" s="610">
        <f>12000+4700</f>
        <v>16700</v>
      </c>
      <c r="D6" s="610">
        <v>0</v>
      </c>
      <c r="E6" s="647">
        <f t="shared" ref="E6:E61" si="0">C6+D6</f>
        <v>16700</v>
      </c>
      <c r="G6" s="434"/>
      <c r="H6" s="434"/>
      <c r="I6" s="434"/>
      <c r="J6" s="434"/>
    </row>
    <row r="7" spans="1:11" x14ac:dyDescent="0.25">
      <c r="A7" s="645" t="s">
        <v>393</v>
      </c>
      <c r="B7" s="648" t="s">
        <v>1216</v>
      </c>
      <c r="C7" s="610">
        <f>64786+299613+332695+19686+5035+24617+13097</f>
        <v>759529</v>
      </c>
      <c r="D7" s="610">
        <v>0</v>
      </c>
      <c r="E7" s="647">
        <f t="shared" si="0"/>
        <v>759529</v>
      </c>
      <c r="G7" s="434"/>
      <c r="H7" s="434"/>
      <c r="I7" s="434"/>
      <c r="J7" s="434"/>
    </row>
    <row r="8" spans="1:11" x14ac:dyDescent="0.25">
      <c r="A8" s="645" t="s">
        <v>1217</v>
      </c>
      <c r="B8" s="648" t="s">
        <v>1218</v>
      </c>
      <c r="C8" s="610">
        <v>39400</v>
      </c>
      <c r="D8" s="610">
        <v>0</v>
      </c>
      <c r="E8" s="647">
        <f t="shared" si="0"/>
        <v>39400</v>
      </c>
      <c r="G8" s="434"/>
      <c r="H8" s="434"/>
      <c r="I8" s="434"/>
      <c r="J8" s="434"/>
    </row>
    <row r="9" spans="1:11" x14ac:dyDescent="0.25">
      <c r="A9" s="645" t="s">
        <v>1219</v>
      </c>
      <c r="B9" s="648" t="s">
        <v>1220</v>
      </c>
      <c r="C9" s="610">
        <v>54908</v>
      </c>
      <c r="D9" s="610">
        <f>7346.76+5000</f>
        <v>12346.76</v>
      </c>
      <c r="E9" s="647">
        <f t="shared" si="0"/>
        <v>67254.759999999995</v>
      </c>
      <c r="G9" s="434"/>
      <c r="H9" s="434"/>
      <c r="I9" s="434"/>
      <c r="J9" s="434"/>
    </row>
    <row r="10" spans="1:11" x14ac:dyDescent="0.25">
      <c r="A10" s="645" t="s">
        <v>1221</v>
      </c>
      <c r="B10" s="648" t="s">
        <v>1222</v>
      </c>
      <c r="C10" s="610">
        <v>6000</v>
      </c>
      <c r="D10" s="610">
        <v>0</v>
      </c>
      <c r="E10" s="647">
        <f t="shared" si="0"/>
        <v>6000</v>
      </c>
      <c r="G10" s="434"/>
      <c r="H10" s="434"/>
      <c r="I10" s="434"/>
      <c r="J10" s="434"/>
    </row>
    <row r="11" spans="1:11" x14ac:dyDescent="0.25">
      <c r="A11" s="645" t="s">
        <v>1223</v>
      </c>
      <c r="B11" s="648" t="s">
        <v>1224</v>
      </c>
      <c r="C11" s="610">
        <v>1600</v>
      </c>
      <c r="D11" s="610">
        <v>0</v>
      </c>
      <c r="E11" s="647">
        <f t="shared" si="0"/>
        <v>1600</v>
      </c>
      <c r="G11" s="434"/>
      <c r="H11" s="434"/>
      <c r="I11" s="434"/>
      <c r="J11" s="434"/>
    </row>
    <row r="12" spans="1:11" x14ac:dyDescent="0.25">
      <c r="A12" s="645" t="s">
        <v>1225</v>
      </c>
      <c r="B12" s="648" t="s">
        <v>1226</v>
      </c>
      <c r="C12" s="610">
        <v>6000</v>
      </c>
      <c r="D12" s="610">
        <v>0</v>
      </c>
      <c r="E12" s="647">
        <f t="shared" si="0"/>
        <v>6000</v>
      </c>
      <c r="G12" s="434"/>
      <c r="H12" s="435"/>
      <c r="I12" s="435"/>
      <c r="J12" s="435"/>
      <c r="K12" s="435"/>
    </row>
    <row r="13" spans="1:11" x14ac:dyDescent="0.25">
      <c r="A13" s="645" t="s">
        <v>1227</v>
      </c>
      <c r="B13" s="648" t="s">
        <v>1228</v>
      </c>
      <c r="C13" s="610">
        <v>7000</v>
      </c>
      <c r="D13" s="610">
        <v>0</v>
      </c>
      <c r="E13" s="647">
        <f t="shared" si="0"/>
        <v>7000</v>
      </c>
    </row>
    <row r="14" spans="1:11" x14ac:dyDescent="0.25">
      <c r="A14" s="645" t="s">
        <v>1229</v>
      </c>
      <c r="B14" s="648" t="s">
        <v>1230</v>
      </c>
      <c r="C14" s="610">
        <v>7000</v>
      </c>
      <c r="D14" s="610">
        <v>0</v>
      </c>
      <c r="E14" s="647">
        <f t="shared" si="0"/>
        <v>7000</v>
      </c>
      <c r="K14" s="434"/>
    </row>
    <row r="15" spans="1:11" x14ac:dyDescent="0.25">
      <c r="A15" s="645" t="s">
        <v>1231</v>
      </c>
      <c r="B15" s="648" t="s">
        <v>1232</v>
      </c>
      <c r="C15" s="610">
        <v>3000</v>
      </c>
      <c r="D15" s="610">
        <v>0</v>
      </c>
      <c r="E15" s="647">
        <f t="shared" si="0"/>
        <v>3000</v>
      </c>
    </row>
    <row r="16" spans="1:11" x14ac:dyDescent="0.25">
      <c r="A16" s="645" t="s">
        <v>1233</v>
      </c>
      <c r="B16" s="648" t="s">
        <v>1234</v>
      </c>
      <c r="C16" s="610">
        <v>5000</v>
      </c>
      <c r="D16" s="610">
        <v>0</v>
      </c>
      <c r="E16" s="647">
        <f t="shared" si="0"/>
        <v>5000</v>
      </c>
    </row>
    <row r="17" spans="1:10" x14ac:dyDescent="0.25">
      <c r="A17" s="645" t="s">
        <v>1235</v>
      </c>
      <c r="B17" s="648" t="s">
        <v>1236</v>
      </c>
      <c r="C17" s="610">
        <v>3500</v>
      </c>
      <c r="D17" s="610">
        <v>0</v>
      </c>
      <c r="E17" s="647">
        <f t="shared" si="0"/>
        <v>3500</v>
      </c>
    </row>
    <row r="18" spans="1:10" x14ac:dyDescent="0.25">
      <c r="A18" s="645" t="s">
        <v>1237</v>
      </c>
      <c r="B18" s="648" t="s">
        <v>1238</v>
      </c>
      <c r="C18" s="610">
        <v>5000</v>
      </c>
      <c r="D18" s="610">
        <v>0</v>
      </c>
      <c r="E18" s="647">
        <f t="shared" si="0"/>
        <v>5000</v>
      </c>
    </row>
    <row r="19" spans="1:10" x14ac:dyDescent="0.25">
      <c r="A19" s="645" t="s">
        <v>1239</v>
      </c>
      <c r="B19" s="648" t="s">
        <v>1240</v>
      </c>
      <c r="C19" s="610">
        <v>2000</v>
      </c>
      <c r="D19" s="610">
        <v>0</v>
      </c>
      <c r="E19" s="647">
        <f t="shared" si="0"/>
        <v>2000</v>
      </c>
    </row>
    <row r="20" spans="1:10" x14ac:dyDescent="0.25">
      <c r="A20" s="645" t="s">
        <v>1241</v>
      </c>
      <c r="B20" s="648" t="s">
        <v>1242</v>
      </c>
      <c r="C20" s="610">
        <v>2000</v>
      </c>
      <c r="D20" s="610">
        <v>0</v>
      </c>
      <c r="E20" s="647">
        <f t="shared" si="0"/>
        <v>2000</v>
      </c>
    </row>
    <row r="21" spans="1:10" x14ac:dyDescent="0.25">
      <c r="A21" s="645" t="s">
        <v>1243</v>
      </c>
      <c r="B21" s="648" t="s">
        <v>1244</v>
      </c>
      <c r="C21" s="610">
        <v>4300</v>
      </c>
      <c r="D21" s="610">
        <v>0</v>
      </c>
      <c r="E21" s="647">
        <f t="shared" si="0"/>
        <v>4300</v>
      </c>
    </row>
    <row r="22" spans="1:10" x14ac:dyDescent="0.25">
      <c r="A22" s="645" t="s">
        <v>1245</v>
      </c>
      <c r="B22" s="648" t="s">
        <v>1246</v>
      </c>
      <c r="C22" s="610">
        <v>2500</v>
      </c>
      <c r="D22" s="610">
        <v>0</v>
      </c>
      <c r="E22" s="647">
        <f t="shared" si="0"/>
        <v>2500</v>
      </c>
    </row>
    <row r="23" spans="1:10" s="194" customFormat="1" x14ac:dyDescent="0.25">
      <c r="A23" s="645" t="s">
        <v>1247</v>
      </c>
      <c r="B23" s="648" t="s">
        <v>1248</v>
      </c>
      <c r="C23" s="610">
        <v>9500</v>
      </c>
      <c r="D23" s="610">
        <v>0</v>
      </c>
      <c r="E23" s="647">
        <f t="shared" si="0"/>
        <v>9500</v>
      </c>
    </row>
    <row r="24" spans="1:10" x14ac:dyDescent="0.25">
      <c r="A24" s="645" t="s">
        <v>1249</v>
      </c>
      <c r="B24" s="648" t="s">
        <v>1250</v>
      </c>
      <c r="C24" s="610">
        <v>6000</v>
      </c>
      <c r="D24" s="610">
        <v>0</v>
      </c>
      <c r="E24" s="647">
        <f t="shared" si="0"/>
        <v>6000</v>
      </c>
    </row>
    <row r="25" spans="1:10" x14ac:dyDescent="0.25">
      <c r="A25" s="645" t="s">
        <v>1251</v>
      </c>
      <c r="B25" s="648" t="s">
        <v>1252</v>
      </c>
      <c r="C25" s="610">
        <v>12635</v>
      </c>
      <c r="D25" s="610">
        <v>0</v>
      </c>
      <c r="E25" s="647">
        <f t="shared" si="0"/>
        <v>12635</v>
      </c>
    </row>
    <row r="26" spans="1:10" x14ac:dyDescent="0.25">
      <c r="A26" s="645" t="s">
        <v>1253</v>
      </c>
      <c r="B26" s="648" t="s">
        <v>1254</v>
      </c>
      <c r="C26" s="610">
        <v>24445</v>
      </c>
      <c r="D26" s="610">
        <v>0</v>
      </c>
      <c r="E26" s="647">
        <f t="shared" si="0"/>
        <v>24445</v>
      </c>
    </row>
    <row r="27" spans="1:10" x14ac:dyDescent="0.25">
      <c r="A27" s="645"/>
      <c r="B27" s="648"/>
      <c r="C27" s="610"/>
      <c r="D27" s="610"/>
      <c r="E27" s="647"/>
    </row>
    <row r="28" spans="1:10" x14ac:dyDescent="0.25">
      <c r="A28" s="645">
        <v>2</v>
      </c>
      <c r="B28" s="646" t="s">
        <v>79</v>
      </c>
      <c r="C28" s="482">
        <f>SUM(C29:C29)</f>
        <v>15976</v>
      </c>
      <c r="D28" s="482">
        <f>SUM(D29:D29)</f>
        <v>0</v>
      </c>
      <c r="E28" s="647">
        <f t="shared" si="0"/>
        <v>15976</v>
      </c>
      <c r="H28" s="640"/>
      <c r="I28" s="641"/>
      <c r="J28" s="641"/>
    </row>
    <row r="29" spans="1:10" x14ac:dyDescent="0.25">
      <c r="A29" s="645" t="s">
        <v>325</v>
      </c>
      <c r="B29" s="648" t="s">
        <v>1255</v>
      </c>
      <c r="C29" s="610">
        <v>15976</v>
      </c>
      <c r="D29" s="610">
        <v>0</v>
      </c>
      <c r="E29" s="647">
        <f t="shared" si="0"/>
        <v>15976</v>
      </c>
    </row>
    <row r="30" spans="1:10" x14ac:dyDescent="0.25">
      <c r="A30" s="645"/>
      <c r="B30" s="648"/>
      <c r="C30" s="610"/>
      <c r="D30" s="610"/>
      <c r="E30" s="647"/>
    </row>
    <row r="31" spans="1:10" x14ac:dyDescent="0.25">
      <c r="A31" s="645">
        <v>3</v>
      </c>
      <c r="B31" s="646" t="s">
        <v>267</v>
      </c>
      <c r="C31" s="482">
        <f>SUM(C32:C35)</f>
        <v>146200.93</v>
      </c>
      <c r="D31" s="482">
        <f>SUM(D32:D32)</f>
        <v>0</v>
      </c>
      <c r="E31" s="647">
        <f t="shared" si="0"/>
        <v>146200.93</v>
      </c>
    </row>
    <row r="32" spans="1:10" x14ac:dyDescent="0.25">
      <c r="A32" s="645" t="s">
        <v>326</v>
      </c>
      <c r="B32" s="649" t="s">
        <v>1256</v>
      </c>
      <c r="C32" s="610">
        <f>2358+7725</f>
        <v>10083</v>
      </c>
      <c r="D32" s="610">
        <v>0</v>
      </c>
      <c r="E32" s="647">
        <f t="shared" si="0"/>
        <v>10083</v>
      </c>
    </row>
    <row r="33" spans="1:5" x14ac:dyDescent="0.25">
      <c r="A33" s="645" t="s">
        <v>394</v>
      </c>
      <c r="B33" s="650" t="s">
        <v>1257</v>
      </c>
      <c r="C33" s="610">
        <v>1604</v>
      </c>
      <c r="D33" s="610">
        <v>0</v>
      </c>
      <c r="E33" s="647">
        <f t="shared" si="0"/>
        <v>1604</v>
      </c>
    </row>
    <row r="34" spans="1:5" x14ac:dyDescent="0.25">
      <c r="A34" s="645" t="s">
        <v>1258</v>
      </c>
      <c r="B34" s="650" t="s">
        <v>1259</v>
      </c>
      <c r="C34" s="610">
        <v>6968.93</v>
      </c>
      <c r="D34" s="610">
        <v>0</v>
      </c>
      <c r="E34" s="647">
        <f t="shared" si="0"/>
        <v>6968.93</v>
      </c>
    </row>
    <row r="35" spans="1:5" x14ac:dyDescent="0.25">
      <c r="A35" s="645" t="s">
        <v>1260</v>
      </c>
      <c r="B35" s="649" t="s">
        <v>1261</v>
      </c>
      <c r="C35" s="610">
        <f>70800+11630+38855+6260</f>
        <v>127545</v>
      </c>
      <c r="D35" s="610">
        <v>0</v>
      </c>
      <c r="E35" s="647">
        <f t="shared" si="0"/>
        <v>127545</v>
      </c>
    </row>
    <row r="36" spans="1:5" x14ac:dyDescent="0.25">
      <c r="A36" s="645"/>
      <c r="B36" s="648"/>
      <c r="C36" s="610"/>
      <c r="D36" s="610"/>
      <c r="E36" s="647"/>
    </row>
    <row r="37" spans="1:5" x14ac:dyDescent="0.25">
      <c r="A37" s="645">
        <v>4</v>
      </c>
      <c r="B37" s="646" t="s">
        <v>268</v>
      </c>
      <c r="C37" s="482">
        <f>SUM(C38:C60)</f>
        <v>3172577.2200000007</v>
      </c>
      <c r="D37" s="482">
        <f>SUM(D38:D60)</f>
        <v>21695.420000000002</v>
      </c>
      <c r="E37" s="651">
        <f t="shared" si="0"/>
        <v>3194272.6400000006</v>
      </c>
    </row>
    <row r="38" spans="1:5" x14ac:dyDescent="0.25">
      <c r="A38" s="645" t="s">
        <v>248</v>
      </c>
      <c r="B38" s="648" t="s">
        <v>1262</v>
      </c>
      <c r="C38" s="652">
        <v>229481</v>
      </c>
      <c r="D38" s="653">
        <v>0</v>
      </c>
      <c r="E38" s="651">
        <f>C38+D38</f>
        <v>229481</v>
      </c>
    </row>
    <row r="39" spans="1:5" x14ac:dyDescent="0.25">
      <c r="A39" s="645" t="s">
        <v>395</v>
      </c>
      <c r="B39" s="648" t="s">
        <v>1263</v>
      </c>
      <c r="C39" s="652">
        <v>218029</v>
      </c>
      <c r="D39" s="653">
        <v>0</v>
      </c>
      <c r="E39" s="651">
        <f t="shared" ref="E39:E60" si="1">C39+D39</f>
        <v>218029</v>
      </c>
    </row>
    <row r="40" spans="1:5" x14ac:dyDescent="0.25">
      <c r="A40" s="645" t="s">
        <v>1264</v>
      </c>
      <c r="B40" s="648" t="s">
        <v>1265</v>
      </c>
      <c r="C40" s="652">
        <v>458235</v>
      </c>
      <c r="D40" s="653">
        <v>19395.02</v>
      </c>
      <c r="E40" s="651">
        <f t="shared" si="1"/>
        <v>477630.02</v>
      </c>
    </row>
    <row r="41" spans="1:5" x14ac:dyDescent="0.25">
      <c r="A41" s="645" t="s">
        <v>1266</v>
      </c>
      <c r="B41" s="648" t="s">
        <v>1267</v>
      </c>
      <c r="C41" s="652">
        <v>7985</v>
      </c>
      <c r="D41" s="653">
        <v>0</v>
      </c>
      <c r="E41" s="651">
        <f t="shared" si="1"/>
        <v>7985</v>
      </c>
    </row>
    <row r="42" spans="1:5" x14ac:dyDescent="0.25">
      <c r="A42" s="645" t="s">
        <v>1268</v>
      </c>
      <c r="B42" s="648" t="s">
        <v>1269</v>
      </c>
      <c r="C42" s="652">
        <v>3614.53</v>
      </c>
      <c r="D42" s="653">
        <v>0</v>
      </c>
      <c r="E42" s="651">
        <f t="shared" si="1"/>
        <v>3614.53</v>
      </c>
    </row>
    <row r="43" spans="1:5" x14ac:dyDescent="0.25">
      <c r="A43" s="645" t="s">
        <v>1270</v>
      </c>
      <c r="B43" s="648" t="s">
        <v>1271</v>
      </c>
      <c r="C43" s="652">
        <f>1289.21+97694.34</f>
        <v>98983.55</v>
      </c>
      <c r="D43" s="653">
        <v>0</v>
      </c>
      <c r="E43" s="651">
        <f t="shared" si="1"/>
        <v>98983.55</v>
      </c>
    </row>
    <row r="44" spans="1:5" x14ac:dyDescent="0.25">
      <c r="A44" s="645" t="s">
        <v>1272</v>
      </c>
      <c r="B44" s="648" t="s">
        <v>1273</v>
      </c>
      <c r="C44" s="652">
        <v>9748</v>
      </c>
      <c r="D44" s="653">
        <v>0</v>
      </c>
      <c r="E44" s="651">
        <f t="shared" si="1"/>
        <v>9748</v>
      </c>
    </row>
    <row r="45" spans="1:5" x14ac:dyDescent="0.25">
      <c r="A45" s="645" t="s">
        <v>1274</v>
      </c>
      <c r="B45" s="648" t="s">
        <v>1275</v>
      </c>
      <c r="C45" s="652">
        <v>5687.48</v>
      </c>
      <c r="D45" s="653">
        <v>0</v>
      </c>
      <c r="E45" s="651">
        <f t="shared" si="1"/>
        <v>5687.48</v>
      </c>
    </row>
    <row r="46" spans="1:5" x14ac:dyDescent="0.25">
      <c r="A46" s="645" t="s">
        <v>1276</v>
      </c>
      <c r="B46" s="648" t="s">
        <v>1277</v>
      </c>
      <c r="C46" s="652">
        <v>46193.11</v>
      </c>
      <c r="D46" s="653">
        <v>0</v>
      </c>
      <c r="E46" s="651">
        <f t="shared" si="1"/>
        <v>46193.11</v>
      </c>
    </row>
    <row r="47" spans="1:5" x14ac:dyDescent="0.25">
      <c r="A47" s="645" t="s">
        <v>1278</v>
      </c>
      <c r="B47" s="648" t="s">
        <v>1279</v>
      </c>
      <c r="C47" s="652">
        <v>501440</v>
      </c>
      <c r="D47" s="653">
        <v>0</v>
      </c>
      <c r="E47" s="651">
        <f t="shared" si="1"/>
        <v>501440</v>
      </c>
    </row>
    <row r="48" spans="1:5" x14ac:dyDescent="0.25">
      <c r="A48" s="645" t="s">
        <v>1280</v>
      </c>
      <c r="B48" s="648" t="s">
        <v>1281</v>
      </c>
      <c r="C48" s="652">
        <v>40000</v>
      </c>
      <c r="D48" s="653">
        <v>0</v>
      </c>
      <c r="E48" s="651">
        <f t="shared" si="1"/>
        <v>40000</v>
      </c>
    </row>
    <row r="49" spans="1:5" x14ac:dyDescent="0.25">
      <c r="A49" s="645" t="s">
        <v>1282</v>
      </c>
      <c r="B49" s="648" t="s">
        <v>1283</v>
      </c>
      <c r="C49" s="652">
        <v>2100</v>
      </c>
      <c r="D49" s="653">
        <v>0</v>
      </c>
      <c r="E49" s="651">
        <f t="shared" si="1"/>
        <v>2100</v>
      </c>
    </row>
    <row r="50" spans="1:5" x14ac:dyDescent="0.25">
      <c r="A50" s="645" t="s">
        <v>1284</v>
      </c>
      <c r="B50" s="648" t="s">
        <v>1285</v>
      </c>
      <c r="C50" s="652">
        <v>11049</v>
      </c>
      <c r="D50" s="653">
        <v>0</v>
      </c>
      <c r="E50" s="651">
        <f t="shared" si="1"/>
        <v>11049</v>
      </c>
    </row>
    <row r="51" spans="1:5" x14ac:dyDescent="0.25">
      <c r="A51" s="645" t="s">
        <v>1286</v>
      </c>
      <c r="B51" s="648" t="s">
        <v>1287</v>
      </c>
      <c r="C51" s="652">
        <v>14350</v>
      </c>
      <c r="D51" s="653">
        <v>0</v>
      </c>
      <c r="E51" s="651">
        <f t="shared" si="1"/>
        <v>14350</v>
      </c>
    </row>
    <row r="52" spans="1:5" x14ac:dyDescent="0.25">
      <c r="A52" s="645" t="s">
        <v>1288</v>
      </c>
      <c r="B52" s="648" t="s">
        <v>1289</v>
      </c>
      <c r="C52" s="652">
        <v>25829</v>
      </c>
      <c r="D52" s="653">
        <v>0</v>
      </c>
      <c r="E52" s="651">
        <f t="shared" si="1"/>
        <v>25829</v>
      </c>
    </row>
    <row r="53" spans="1:5" x14ac:dyDescent="0.25">
      <c r="A53" s="645" t="s">
        <v>1290</v>
      </c>
      <c r="B53" s="654" t="s">
        <v>1291</v>
      </c>
      <c r="C53" s="652">
        <v>9077</v>
      </c>
      <c r="D53" s="653">
        <v>0</v>
      </c>
      <c r="E53" s="651">
        <f t="shared" si="1"/>
        <v>9077</v>
      </c>
    </row>
    <row r="54" spans="1:5" x14ac:dyDescent="0.25">
      <c r="A54" s="645" t="s">
        <v>1292</v>
      </c>
      <c r="B54" s="650" t="s">
        <v>1293</v>
      </c>
      <c r="C54" s="652">
        <v>7899.6</v>
      </c>
      <c r="D54" s="653">
        <v>2300.4</v>
      </c>
      <c r="E54" s="651">
        <f t="shared" si="1"/>
        <v>10200</v>
      </c>
    </row>
    <row r="55" spans="1:5" x14ac:dyDescent="0.25">
      <c r="A55" s="645" t="s">
        <v>1294</v>
      </c>
      <c r="B55" s="650" t="s">
        <v>1295</v>
      </c>
      <c r="C55" s="652">
        <v>109387.83</v>
      </c>
      <c r="D55" s="653">
        <v>0</v>
      </c>
      <c r="E55" s="651">
        <f t="shared" si="1"/>
        <v>109387.83</v>
      </c>
    </row>
    <row r="56" spans="1:5" x14ac:dyDescent="0.25">
      <c r="A56" s="645" t="s">
        <v>1296</v>
      </c>
      <c r="B56" s="650" t="s">
        <v>1297</v>
      </c>
      <c r="C56" s="652">
        <f>1726+1633</f>
        <v>3359</v>
      </c>
      <c r="D56" s="653">
        <v>0</v>
      </c>
      <c r="E56" s="651">
        <f t="shared" si="1"/>
        <v>3359</v>
      </c>
    </row>
    <row r="57" spans="1:5" x14ac:dyDescent="0.25">
      <c r="A57" s="645" t="s">
        <v>1298</v>
      </c>
      <c r="B57" s="650" t="s">
        <v>1299</v>
      </c>
      <c r="C57" s="652">
        <v>25913</v>
      </c>
      <c r="D57" s="653">
        <v>0</v>
      </c>
      <c r="E57" s="651">
        <f t="shared" si="1"/>
        <v>25913</v>
      </c>
    </row>
    <row r="58" spans="1:5" x14ac:dyDescent="0.25">
      <c r="A58" s="645" t="s">
        <v>1300</v>
      </c>
      <c r="B58" s="650" t="s">
        <v>1301</v>
      </c>
      <c r="C58" s="652">
        <f>995308+2900</f>
        <v>998208</v>
      </c>
      <c r="D58" s="653">
        <v>0</v>
      </c>
      <c r="E58" s="651">
        <f t="shared" si="1"/>
        <v>998208</v>
      </c>
    </row>
    <row r="59" spans="1:5" x14ac:dyDescent="0.25">
      <c r="A59" s="645" t="s">
        <v>1302</v>
      </c>
      <c r="B59" s="650" t="s">
        <v>1303</v>
      </c>
      <c r="C59" s="652">
        <v>124449.58</v>
      </c>
      <c r="D59" s="653">
        <v>0</v>
      </c>
      <c r="E59" s="651">
        <f t="shared" si="1"/>
        <v>124449.58</v>
      </c>
    </row>
    <row r="60" spans="1:5" x14ac:dyDescent="0.25">
      <c r="A60" s="645" t="s">
        <v>1304</v>
      </c>
      <c r="B60" s="650" t="s">
        <v>1305</v>
      </c>
      <c r="C60" s="652">
        <v>221558.54</v>
      </c>
      <c r="D60" s="653">
        <v>0</v>
      </c>
      <c r="E60" s="651">
        <f t="shared" si="1"/>
        <v>221558.54</v>
      </c>
    </row>
    <row r="61" spans="1:5" ht="16.5" thickBot="1" x14ac:dyDescent="0.3">
      <c r="A61" s="655"/>
      <c r="B61" s="656" t="s">
        <v>309</v>
      </c>
      <c r="C61" s="657">
        <f>C5+C28+C31+C37</f>
        <v>4312771.1500000004</v>
      </c>
      <c r="D61" s="657">
        <f>D5+D28+D31+D37</f>
        <v>34042.18</v>
      </c>
      <c r="E61" s="658">
        <f t="shared" si="0"/>
        <v>4346813.33</v>
      </c>
    </row>
    <row r="63" spans="1:5" x14ac:dyDescent="0.25">
      <c r="A63" s="660"/>
      <c r="B63" s="661" t="s">
        <v>780</v>
      </c>
      <c r="C63" s="662"/>
      <c r="D63" s="662"/>
      <c r="E63" s="662"/>
    </row>
    <row r="66" spans="3:5" x14ac:dyDescent="0.25">
      <c r="C66" s="475"/>
      <c r="D66" s="475"/>
      <c r="E66" s="475"/>
    </row>
    <row r="67" spans="3:5" x14ac:dyDescent="0.25">
      <c r="C67" s="481"/>
      <c r="D67" s="481"/>
      <c r="E67" s="481"/>
    </row>
    <row r="68" spans="3:5" x14ac:dyDescent="0.25">
      <c r="C68" s="481"/>
      <c r="D68" s="481"/>
      <c r="E68" s="481"/>
    </row>
    <row r="69" spans="3:5" x14ac:dyDescent="0.25">
      <c r="C69" s="481"/>
      <c r="D69" s="481"/>
      <c r="E69" s="481"/>
    </row>
    <row r="70" spans="3:5" x14ac:dyDescent="0.25">
      <c r="C70" s="481"/>
      <c r="D70" s="481"/>
      <c r="E70" s="481"/>
    </row>
    <row r="71" spans="3:5" x14ac:dyDescent="0.25">
      <c r="C71" s="481"/>
      <c r="D71" s="481"/>
      <c r="E71" s="481"/>
    </row>
    <row r="72" spans="3:5" x14ac:dyDescent="0.25">
      <c r="C72" s="481"/>
      <c r="D72" s="481"/>
      <c r="E72" s="481"/>
    </row>
    <row r="73" spans="3:5" x14ac:dyDescent="0.25">
      <c r="C73" s="481"/>
      <c r="D73" s="663"/>
      <c r="E73" s="663"/>
    </row>
    <row r="74" spans="3:5" x14ac:dyDescent="0.25">
      <c r="D74" s="664"/>
      <c r="E74" s="664"/>
    </row>
    <row r="75" spans="3:5" x14ac:dyDescent="0.25">
      <c r="D75" s="663"/>
      <c r="E75" s="664"/>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75"/>
  <sheetViews>
    <sheetView zoomScale="80" zoomScaleNormal="80" workbookViewId="0">
      <pane xSplit="2" ySplit="5" topLeftCell="G43" activePane="bottomRight" state="frozen"/>
      <selection pane="topRight" activeCell="C1" sqref="C1"/>
      <selection pane="bottomLeft" activeCell="A6" sqref="A6"/>
      <selection pane="bottomRight" activeCell="I72" sqref="I72"/>
    </sheetView>
  </sheetViews>
  <sheetFormatPr defaultColWidth="9.140625" defaultRowHeight="15.75" x14ac:dyDescent="0.25"/>
  <cols>
    <col min="1" max="1" width="7.85546875" style="3" customWidth="1"/>
    <col min="2" max="2" width="72.28515625" style="126" customWidth="1"/>
    <col min="3" max="3" width="16.42578125" style="127" customWidth="1"/>
    <col min="4" max="4" width="16.5703125" style="127" customWidth="1"/>
    <col min="5" max="5" width="16.42578125" style="127" customWidth="1"/>
    <col min="6" max="6" width="19.140625" style="127" customWidth="1"/>
    <col min="7" max="7" width="16.85546875" style="127" customWidth="1"/>
    <col min="8" max="8" width="17.28515625" style="127" customWidth="1"/>
    <col min="9" max="9" width="22" style="1" customWidth="1"/>
    <col min="10" max="10" width="9.5703125" style="1" bestFit="1" customWidth="1"/>
    <col min="11" max="16384" width="9.140625" style="1"/>
  </cols>
  <sheetData>
    <row r="1" spans="1:11" ht="35.1" customHeight="1" thickBot="1" x14ac:dyDescent="0.3">
      <c r="A1" s="885" t="s">
        <v>989</v>
      </c>
      <c r="B1" s="886"/>
      <c r="C1" s="886"/>
      <c r="D1" s="886"/>
      <c r="E1" s="886"/>
      <c r="F1" s="886"/>
      <c r="G1" s="886"/>
      <c r="H1" s="887"/>
      <c r="I1" s="822"/>
      <c r="J1" s="45"/>
      <c r="K1" s="45"/>
    </row>
    <row r="2" spans="1:11" ht="31.9" customHeight="1" x14ac:dyDescent="0.25">
      <c r="A2" s="873" t="s">
        <v>1322</v>
      </c>
      <c r="B2" s="874"/>
      <c r="C2" s="874"/>
      <c r="D2" s="874"/>
      <c r="E2" s="874"/>
      <c r="F2" s="874"/>
      <c r="G2" s="874"/>
      <c r="H2" s="875"/>
      <c r="I2" s="45"/>
      <c r="J2" s="45"/>
      <c r="K2" s="45"/>
    </row>
    <row r="3" spans="1:11" ht="24" customHeight="1" x14ac:dyDescent="0.25">
      <c r="A3" s="888" t="s">
        <v>208</v>
      </c>
      <c r="B3" s="889" t="s">
        <v>335</v>
      </c>
      <c r="C3" s="891">
        <v>2015</v>
      </c>
      <c r="D3" s="892"/>
      <c r="E3" s="891">
        <v>2016</v>
      </c>
      <c r="F3" s="892"/>
      <c r="G3" s="891" t="s">
        <v>990</v>
      </c>
      <c r="H3" s="893"/>
      <c r="I3" s="45"/>
      <c r="J3" s="45"/>
      <c r="K3" s="45"/>
    </row>
    <row r="4" spans="1:11" s="10" customFormat="1" ht="31.5" x14ac:dyDescent="0.25">
      <c r="A4" s="888"/>
      <c r="B4" s="890"/>
      <c r="C4" s="366" t="s">
        <v>336</v>
      </c>
      <c r="D4" s="366" t="s">
        <v>337</v>
      </c>
      <c r="E4" s="366" t="s">
        <v>336</v>
      </c>
      <c r="F4" s="366" t="s">
        <v>337</v>
      </c>
      <c r="G4" s="366" t="s">
        <v>336</v>
      </c>
      <c r="H4" s="367" t="s">
        <v>337</v>
      </c>
      <c r="I4" s="45"/>
      <c r="J4" s="823"/>
      <c r="K4" s="823"/>
    </row>
    <row r="5" spans="1:11" s="10" customFormat="1" x14ac:dyDescent="0.25">
      <c r="A5" s="365"/>
      <c r="B5" s="304"/>
      <c r="C5" s="366" t="s">
        <v>289</v>
      </c>
      <c r="D5" s="366" t="s">
        <v>290</v>
      </c>
      <c r="E5" s="366" t="s">
        <v>291</v>
      </c>
      <c r="F5" s="366" t="s">
        <v>298</v>
      </c>
      <c r="G5" s="366" t="s">
        <v>31</v>
      </c>
      <c r="H5" s="367" t="s">
        <v>32</v>
      </c>
      <c r="I5" s="45"/>
      <c r="J5" s="823"/>
      <c r="K5" s="823"/>
    </row>
    <row r="6" spans="1:11" x14ac:dyDescent="0.25">
      <c r="A6" s="33">
        <v>1</v>
      </c>
      <c r="B6" s="56" t="s">
        <v>263</v>
      </c>
      <c r="C6" s="439">
        <f>SUM(C7:C10)</f>
        <v>30.5</v>
      </c>
      <c r="D6" s="439">
        <f t="shared" ref="D6:F6" si="0">SUM(D7:D10)</f>
        <v>338467.15</v>
      </c>
      <c r="E6" s="439">
        <f t="shared" si="0"/>
        <v>0</v>
      </c>
      <c r="F6" s="439">
        <f t="shared" si="0"/>
        <v>400175.06</v>
      </c>
      <c r="G6" s="738">
        <f>E6-C6</f>
        <v>-30.5</v>
      </c>
      <c r="H6" s="739">
        <f t="shared" ref="G6:H69" si="1">F6-D6</f>
        <v>61707.909999999974</v>
      </c>
      <c r="I6" s="45"/>
      <c r="J6" s="45"/>
      <c r="K6" s="45"/>
    </row>
    <row r="7" spans="1:11" x14ac:dyDescent="0.25">
      <c r="A7" s="33">
        <f>A6+1</f>
        <v>2</v>
      </c>
      <c r="B7" s="272" t="s">
        <v>281</v>
      </c>
      <c r="C7" s="517">
        <v>0</v>
      </c>
      <c r="D7" s="517">
        <v>0</v>
      </c>
      <c r="E7" s="517">
        <v>0</v>
      </c>
      <c r="F7" s="517">
        <v>0</v>
      </c>
      <c r="G7" s="738">
        <f t="shared" si="1"/>
        <v>0</v>
      </c>
      <c r="H7" s="739">
        <f t="shared" si="1"/>
        <v>0</v>
      </c>
      <c r="I7" s="824"/>
      <c r="J7" s="45"/>
      <c r="K7" s="45"/>
    </row>
    <row r="8" spans="1:11" x14ac:dyDescent="0.25">
      <c r="A8" s="33">
        <f t="shared" ref="A8:A69" si="2">A7+1</f>
        <v>3</v>
      </c>
      <c r="B8" s="272" t="s">
        <v>305</v>
      </c>
      <c r="C8" s="517">
        <v>0</v>
      </c>
      <c r="D8" s="517">
        <v>0</v>
      </c>
      <c r="E8" s="517">
        <v>0</v>
      </c>
      <c r="F8" s="517">
        <v>0</v>
      </c>
      <c r="G8" s="738">
        <f t="shared" si="1"/>
        <v>0</v>
      </c>
      <c r="H8" s="739">
        <f t="shared" si="1"/>
        <v>0</v>
      </c>
      <c r="I8" s="824"/>
      <c r="J8" s="45"/>
      <c r="K8" s="45"/>
    </row>
    <row r="9" spans="1:11" x14ac:dyDescent="0.25">
      <c r="A9" s="33">
        <f t="shared" si="2"/>
        <v>4</v>
      </c>
      <c r="B9" s="272" t="s">
        <v>62</v>
      </c>
      <c r="C9" s="517">
        <v>0</v>
      </c>
      <c r="D9" s="517">
        <v>0</v>
      </c>
      <c r="E9" s="517">
        <v>0</v>
      </c>
      <c r="F9" s="517">
        <v>0</v>
      </c>
      <c r="G9" s="738">
        <f t="shared" si="1"/>
        <v>0</v>
      </c>
      <c r="H9" s="739">
        <f t="shared" si="1"/>
        <v>0</v>
      </c>
      <c r="I9" s="824"/>
      <c r="J9" s="45"/>
      <c r="K9" s="45"/>
    </row>
    <row r="10" spans="1:11" x14ac:dyDescent="0.25">
      <c r="A10" s="33">
        <f t="shared" si="2"/>
        <v>5</v>
      </c>
      <c r="B10" s="272" t="s">
        <v>304</v>
      </c>
      <c r="C10" s="517">
        <v>30.5</v>
      </c>
      <c r="D10" s="517">
        <v>338467.15</v>
      </c>
      <c r="E10" s="517">
        <v>0</v>
      </c>
      <c r="F10" s="517">
        <v>400175.06</v>
      </c>
      <c r="G10" s="738">
        <f t="shared" si="1"/>
        <v>-30.5</v>
      </c>
      <c r="H10" s="739">
        <f t="shared" si="1"/>
        <v>61707.909999999974</v>
      </c>
      <c r="I10" s="824"/>
      <c r="J10" s="45"/>
      <c r="K10" s="45"/>
    </row>
    <row r="11" spans="1:11" x14ac:dyDescent="0.25">
      <c r="A11" s="33">
        <f t="shared" si="2"/>
        <v>6</v>
      </c>
      <c r="B11" s="289" t="s">
        <v>829</v>
      </c>
      <c r="C11" s="439">
        <f>SUM(C12:C15)</f>
        <v>4940003.5500000007</v>
      </c>
      <c r="D11" s="439">
        <f t="shared" ref="D11:F11" si="3">SUM(D12:D15)</f>
        <v>5008041.7</v>
      </c>
      <c r="E11" s="439">
        <f t="shared" si="3"/>
        <v>4930020.9499999993</v>
      </c>
      <c r="F11" s="439">
        <f t="shared" si="3"/>
        <v>5237996.3099999996</v>
      </c>
      <c r="G11" s="738">
        <f t="shared" si="1"/>
        <v>-9982.6000000014901</v>
      </c>
      <c r="H11" s="739">
        <f t="shared" si="1"/>
        <v>229954.6099999994</v>
      </c>
      <c r="I11" s="45"/>
      <c r="J11" s="45"/>
      <c r="K11" s="45"/>
    </row>
    <row r="12" spans="1:11" x14ac:dyDescent="0.25">
      <c r="A12" s="33">
        <f t="shared" si="2"/>
        <v>7</v>
      </c>
      <c r="B12" s="272" t="s">
        <v>96</v>
      </c>
      <c r="C12" s="517">
        <v>4125389.99</v>
      </c>
      <c r="D12" s="517">
        <v>0</v>
      </c>
      <c r="E12" s="517">
        <v>4086010.28</v>
      </c>
      <c r="F12" s="517">
        <v>0</v>
      </c>
      <c r="G12" s="738">
        <f t="shared" si="1"/>
        <v>-39379.710000000428</v>
      </c>
      <c r="H12" s="739">
        <f t="shared" si="1"/>
        <v>0</v>
      </c>
      <c r="I12" s="45"/>
      <c r="J12" s="45"/>
      <c r="K12" s="45"/>
    </row>
    <row r="13" spans="1:11" x14ac:dyDescent="0.25">
      <c r="A13" s="33">
        <f t="shared" si="2"/>
        <v>8</v>
      </c>
      <c r="B13" s="272" t="s">
        <v>97</v>
      </c>
      <c r="C13" s="517">
        <v>644906.16</v>
      </c>
      <c r="D13" s="517">
        <v>0</v>
      </c>
      <c r="E13" s="517">
        <v>632878.86</v>
      </c>
      <c r="F13" s="517">
        <v>0</v>
      </c>
      <c r="G13" s="738">
        <f t="shared" si="1"/>
        <v>-12027.300000000047</v>
      </c>
      <c r="H13" s="739">
        <f t="shared" si="1"/>
        <v>0</v>
      </c>
      <c r="I13" s="45"/>
      <c r="J13" s="45"/>
      <c r="K13" s="45"/>
    </row>
    <row r="14" spans="1:11" x14ac:dyDescent="0.25">
      <c r="A14" s="33">
        <f>A13+1</f>
        <v>9</v>
      </c>
      <c r="B14" s="272" t="s">
        <v>98</v>
      </c>
      <c r="C14" s="517">
        <v>0</v>
      </c>
      <c r="D14" s="517">
        <v>1477123.91</v>
      </c>
      <c r="E14" s="517">
        <v>0</v>
      </c>
      <c r="F14" s="517">
        <v>1644106.64</v>
      </c>
      <c r="G14" s="738">
        <f t="shared" si="1"/>
        <v>0</v>
      </c>
      <c r="H14" s="739">
        <f t="shared" si="1"/>
        <v>166982.72999999998</v>
      </c>
      <c r="I14" s="45"/>
      <c r="J14" s="45"/>
      <c r="K14" s="45"/>
    </row>
    <row r="15" spans="1:11" ht="31.5" x14ac:dyDescent="0.25">
      <c r="A15" s="250">
        <f t="shared" si="2"/>
        <v>10</v>
      </c>
      <c r="B15" s="272" t="s">
        <v>1103</v>
      </c>
      <c r="C15" s="517">
        <v>169707.4</v>
      </c>
      <c r="D15" s="517">
        <v>3530917.79</v>
      </c>
      <c r="E15" s="517">
        <v>211131.81</v>
      </c>
      <c r="F15" s="517">
        <v>3593889.67</v>
      </c>
      <c r="G15" s="738">
        <f t="shared" si="1"/>
        <v>41424.410000000003</v>
      </c>
      <c r="H15" s="739">
        <f t="shared" si="1"/>
        <v>62971.879999999888</v>
      </c>
      <c r="I15" s="45"/>
      <c r="J15" s="45"/>
      <c r="K15" s="45"/>
    </row>
    <row r="16" spans="1:11" x14ac:dyDescent="0.25">
      <c r="A16" s="33">
        <f t="shared" si="2"/>
        <v>11</v>
      </c>
      <c r="B16" s="289" t="s">
        <v>28</v>
      </c>
      <c r="C16" s="517">
        <v>0</v>
      </c>
      <c r="D16" s="517">
        <v>94368.5</v>
      </c>
      <c r="E16" s="517">
        <v>0</v>
      </c>
      <c r="F16" s="517">
        <v>109305.66</v>
      </c>
      <c r="G16" s="738">
        <f t="shared" si="1"/>
        <v>0</v>
      </c>
      <c r="H16" s="739">
        <f t="shared" si="1"/>
        <v>14937.160000000003</v>
      </c>
      <c r="I16" s="45"/>
      <c r="J16" s="45"/>
      <c r="K16" s="45"/>
    </row>
    <row r="17" spans="1:11" x14ac:dyDescent="0.25">
      <c r="A17" s="33">
        <f t="shared" si="2"/>
        <v>12</v>
      </c>
      <c r="B17" s="289" t="s">
        <v>1073</v>
      </c>
      <c r="C17" s="517">
        <v>67348.02</v>
      </c>
      <c r="D17" s="517">
        <v>-26982.73</v>
      </c>
      <c r="E17" s="517">
        <v>60863.69</v>
      </c>
      <c r="F17" s="517">
        <v>-35164.129999999997</v>
      </c>
      <c r="G17" s="738">
        <f t="shared" si="1"/>
        <v>-6484.3300000000017</v>
      </c>
      <c r="H17" s="739">
        <f t="shared" si="1"/>
        <v>-8181.3999999999978</v>
      </c>
      <c r="I17" s="45"/>
      <c r="J17" s="45"/>
      <c r="K17" s="45"/>
    </row>
    <row r="18" spans="1:11" x14ac:dyDescent="0.25">
      <c r="A18" s="33">
        <f t="shared" si="2"/>
        <v>13</v>
      </c>
      <c r="B18" s="289" t="s">
        <v>1074</v>
      </c>
      <c r="C18" s="517">
        <v>556.32000000000005</v>
      </c>
      <c r="D18" s="517">
        <v>0</v>
      </c>
      <c r="E18" s="517">
        <v>0</v>
      </c>
      <c r="F18" s="517">
        <v>0</v>
      </c>
      <c r="G18" s="738">
        <f t="shared" si="1"/>
        <v>-556.32000000000005</v>
      </c>
      <c r="H18" s="739">
        <f t="shared" si="1"/>
        <v>0</v>
      </c>
      <c r="I18" s="45"/>
      <c r="J18" s="45"/>
      <c r="K18" s="45"/>
    </row>
    <row r="19" spans="1:11" x14ac:dyDescent="0.25">
      <c r="A19" s="33">
        <f t="shared" si="2"/>
        <v>14</v>
      </c>
      <c r="B19" s="289" t="s">
        <v>342</v>
      </c>
      <c r="C19" s="517">
        <v>142882.5</v>
      </c>
      <c r="D19" s="517">
        <v>18764.61</v>
      </c>
      <c r="E19" s="517">
        <v>146958.5</v>
      </c>
      <c r="F19" s="517">
        <v>26721.89</v>
      </c>
      <c r="G19" s="738">
        <f t="shared" si="1"/>
        <v>4076</v>
      </c>
      <c r="H19" s="739">
        <f t="shared" si="1"/>
        <v>7957.2799999999988</v>
      </c>
      <c r="I19" s="45"/>
      <c r="J19" s="45"/>
      <c r="K19" s="45"/>
    </row>
    <row r="20" spans="1:11" x14ac:dyDescent="0.25">
      <c r="A20" s="33">
        <f t="shared" si="2"/>
        <v>15</v>
      </c>
      <c r="B20" s="289" t="s">
        <v>343</v>
      </c>
      <c r="C20" s="517">
        <v>0</v>
      </c>
      <c r="D20" s="517">
        <v>0</v>
      </c>
      <c r="E20" s="517">
        <v>0</v>
      </c>
      <c r="F20" s="517">
        <v>0</v>
      </c>
      <c r="G20" s="738">
        <f t="shared" si="1"/>
        <v>0</v>
      </c>
      <c r="H20" s="739">
        <f t="shared" si="1"/>
        <v>0</v>
      </c>
      <c r="I20" s="45"/>
      <c r="J20" s="45"/>
      <c r="K20" s="45"/>
    </row>
    <row r="21" spans="1:11" x14ac:dyDescent="0.25">
      <c r="A21" s="33">
        <f t="shared" si="2"/>
        <v>16</v>
      </c>
      <c r="B21" s="289" t="s">
        <v>830</v>
      </c>
      <c r="C21" s="439">
        <f>SUM(C22:C23)</f>
        <v>17.66</v>
      </c>
      <c r="D21" s="439">
        <f t="shared" ref="D21:F21" si="4">SUM(D22:D23)</f>
        <v>1309.1400000000001</v>
      </c>
      <c r="E21" s="439">
        <f t="shared" si="4"/>
        <v>0</v>
      </c>
      <c r="F21" s="439">
        <f t="shared" si="4"/>
        <v>733.33</v>
      </c>
      <c r="G21" s="738">
        <f t="shared" si="1"/>
        <v>-17.66</v>
      </c>
      <c r="H21" s="739">
        <f t="shared" si="1"/>
        <v>-575.81000000000006</v>
      </c>
      <c r="I21" s="45"/>
      <c r="J21" s="45"/>
      <c r="K21" s="45"/>
    </row>
    <row r="22" spans="1:11" x14ac:dyDescent="0.25">
      <c r="A22" s="33">
        <f t="shared" si="2"/>
        <v>17</v>
      </c>
      <c r="B22" s="272" t="s">
        <v>102</v>
      </c>
      <c r="C22" s="517">
        <v>0</v>
      </c>
      <c r="D22" s="517">
        <v>0</v>
      </c>
      <c r="E22" s="517">
        <v>0</v>
      </c>
      <c r="F22" s="517">
        <v>0</v>
      </c>
      <c r="G22" s="738">
        <f t="shared" si="1"/>
        <v>0</v>
      </c>
      <c r="H22" s="739">
        <f t="shared" si="1"/>
        <v>0</v>
      </c>
      <c r="I22" s="45"/>
      <c r="J22" s="45"/>
      <c r="K22" s="45"/>
    </row>
    <row r="23" spans="1:11" x14ac:dyDescent="0.25">
      <c r="A23" s="33">
        <f t="shared" si="2"/>
        <v>18</v>
      </c>
      <c r="B23" s="272" t="s">
        <v>103</v>
      </c>
      <c r="C23" s="517">
        <v>17.66</v>
      </c>
      <c r="D23" s="517">
        <v>1309.1400000000001</v>
      </c>
      <c r="E23" s="517">
        <v>0</v>
      </c>
      <c r="F23" s="740">
        <v>733.33</v>
      </c>
      <c r="G23" s="738">
        <f t="shared" si="1"/>
        <v>-17.66</v>
      </c>
      <c r="H23" s="739">
        <f t="shared" si="1"/>
        <v>-575.81000000000006</v>
      </c>
      <c r="I23" s="45"/>
      <c r="J23" s="45"/>
      <c r="K23" s="45"/>
    </row>
    <row r="24" spans="1:11" x14ac:dyDescent="0.25">
      <c r="A24" s="33">
        <f t="shared" si="2"/>
        <v>19</v>
      </c>
      <c r="B24" s="289" t="s">
        <v>344</v>
      </c>
      <c r="C24" s="517">
        <v>191.43</v>
      </c>
      <c r="D24" s="517">
        <v>360.08</v>
      </c>
      <c r="E24" s="517">
        <v>122.45</v>
      </c>
      <c r="F24" s="517">
        <v>13.25</v>
      </c>
      <c r="G24" s="738">
        <f t="shared" si="1"/>
        <v>-68.98</v>
      </c>
      <c r="H24" s="739">
        <f t="shared" si="1"/>
        <v>-346.83</v>
      </c>
      <c r="I24" s="45"/>
      <c r="J24" s="45"/>
      <c r="K24" s="45"/>
    </row>
    <row r="25" spans="1:11" x14ac:dyDescent="0.25">
      <c r="A25" s="33">
        <f t="shared" si="2"/>
        <v>20</v>
      </c>
      <c r="B25" s="364" t="s">
        <v>1062</v>
      </c>
      <c r="C25" s="439">
        <f>C26+C27+C28+C29</f>
        <v>1381239</v>
      </c>
      <c r="D25" s="439">
        <f t="shared" ref="D25:F25" si="5">D26+D27+D28+D29</f>
        <v>0</v>
      </c>
      <c r="E25" s="439">
        <f t="shared" si="5"/>
        <v>1202823.1299999999</v>
      </c>
      <c r="F25" s="439">
        <f t="shared" si="5"/>
        <v>0</v>
      </c>
      <c r="G25" s="738">
        <f t="shared" ref="G25:G34" si="6">E25-C25</f>
        <v>-178415.87000000011</v>
      </c>
      <c r="H25" s="739">
        <f t="shared" ref="H25:H34" si="7">F25-D25</f>
        <v>0</v>
      </c>
      <c r="I25" s="375"/>
      <c r="J25" s="825"/>
      <c r="K25" s="45"/>
    </row>
    <row r="26" spans="1:11" x14ac:dyDescent="0.25">
      <c r="A26" s="33">
        <f t="shared" si="2"/>
        <v>21</v>
      </c>
      <c r="B26" s="362" t="s">
        <v>1061</v>
      </c>
      <c r="C26" s="517">
        <v>1042955</v>
      </c>
      <c r="D26" s="517">
        <v>0</v>
      </c>
      <c r="E26" s="517">
        <v>824688.2</v>
      </c>
      <c r="F26" s="517"/>
      <c r="G26" s="738">
        <f t="shared" si="6"/>
        <v>-218266.80000000005</v>
      </c>
      <c r="H26" s="739">
        <f t="shared" si="7"/>
        <v>0</v>
      </c>
      <c r="I26" s="375"/>
      <c r="J26" s="825"/>
      <c r="K26" s="45"/>
    </row>
    <row r="27" spans="1:11" x14ac:dyDescent="0.25">
      <c r="A27" s="33">
        <f t="shared" si="2"/>
        <v>22</v>
      </c>
      <c r="B27" s="362" t="s">
        <v>1053</v>
      </c>
      <c r="C27" s="517">
        <v>206613</v>
      </c>
      <c r="D27" s="517">
        <v>0</v>
      </c>
      <c r="E27" s="517">
        <v>233400</v>
      </c>
      <c r="F27" s="517">
        <v>0</v>
      </c>
      <c r="G27" s="738">
        <f t="shared" si="6"/>
        <v>26787</v>
      </c>
      <c r="H27" s="739">
        <f t="shared" si="7"/>
        <v>0</v>
      </c>
      <c r="I27" s="537"/>
      <c r="J27" s="825"/>
      <c r="K27" s="45"/>
    </row>
    <row r="28" spans="1:11" x14ac:dyDescent="0.25">
      <c r="A28" s="33">
        <f t="shared" si="2"/>
        <v>23</v>
      </c>
      <c r="B28" s="362" t="s">
        <v>1054</v>
      </c>
      <c r="C28" s="517">
        <v>128171</v>
      </c>
      <c r="D28" s="517">
        <v>0</v>
      </c>
      <c r="E28" s="517">
        <v>138894.93</v>
      </c>
      <c r="F28" s="517">
        <v>0</v>
      </c>
      <c r="G28" s="738">
        <f t="shared" si="6"/>
        <v>10723.929999999993</v>
      </c>
      <c r="H28" s="739">
        <f t="shared" si="7"/>
        <v>0</v>
      </c>
      <c r="I28" s="375"/>
      <c r="J28" s="375"/>
      <c r="K28" s="45"/>
    </row>
    <row r="29" spans="1:11" x14ac:dyDescent="0.25">
      <c r="A29" s="33">
        <f t="shared" si="2"/>
        <v>24</v>
      </c>
      <c r="B29" s="362" t="s">
        <v>1055</v>
      </c>
      <c r="C29" s="517">
        <v>3500</v>
      </c>
      <c r="D29" s="517">
        <v>0</v>
      </c>
      <c r="E29" s="517">
        <v>5840</v>
      </c>
      <c r="F29" s="517">
        <v>0</v>
      </c>
      <c r="G29" s="738">
        <f t="shared" si="6"/>
        <v>2340</v>
      </c>
      <c r="H29" s="739">
        <f t="shared" si="7"/>
        <v>0</v>
      </c>
      <c r="I29" s="375"/>
      <c r="J29" s="375"/>
      <c r="K29" s="45"/>
    </row>
    <row r="30" spans="1:11" x14ac:dyDescent="0.25">
      <c r="A30" s="33">
        <f t="shared" si="2"/>
        <v>25</v>
      </c>
      <c r="B30" s="361" t="s">
        <v>1072</v>
      </c>
      <c r="C30" s="439">
        <f>SUM(C31:C36)</f>
        <v>560598.83000000007</v>
      </c>
      <c r="D30" s="439">
        <f t="shared" ref="D30:F30" si="8">SUM(D31:D36)</f>
        <v>0</v>
      </c>
      <c r="E30" s="439">
        <f t="shared" si="8"/>
        <v>401884.49000000005</v>
      </c>
      <c r="F30" s="439">
        <f t="shared" si="8"/>
        <v>0</v>
      </c>
      <c r="G30" s="738">
        <f t="shared" si="6"/>
        <v>-158714.34000000003</v>
      </c>
      <c r="H30" s="739">
        <f t="shared" si="7"/>
        <v>0</v>
      </c>
      <c r="I30" s="537"/>
      <c r="J30" s="825"/>
      <c r="K30" s="45"/>
    </row>
    <row r="31" spans="1:11" x14ac:dyDescent="0.25">
      <c r="A31" s="33">
        <f t="shared" si="2"/>
        <v>26</v>
      </c>
      <c r="B31" s="363" t="s">
        <v>1056</v>
      </c>
      <c r="C31" s="517">
        <v>371928.82</v>
      </c>
      <c r="D31" s="517">
        <v>0</v>
      </c>
      <c r="E31" s="517">
        <v>208705.2</v>
      </c>
      <c r="F31" s="517">
        <v>0</v>
      </c>
      <c r="G31" s="738">
        <f t="shared" si="6"/>
        <v>-163223.62</v>
      </c>
      <c r="H31" s="739">
        <f t="shared" si="7"/>
        <v>0</v>
      </c>
      <c r="I31" s="45"/>
      <c r="J31" s="45"/>
      <c r="K31" s="45"/>
    </row>
    <row r="32" spans="1:11" x14ac:dyDescent="0.25">
      <c r="A32" s="33">
        <f t="shared" si="2"/>
        <v>27</v>
      </c>
      <c r="B32" s="363" t="s">
        <v>1060</v>
      </c>
      <c r="C32" s="517">
        <v>0</v>
      </c>
      <c r="D32" s="517">
        <v>0</v>
      </c>
      <c r="E32" s="517">
        <v>0</v>
      </c>
      <c r="F32" s="517">
        <v>0</v>
      </c>
      <c r="G32" s="738">
        <f t="shared" si="6"/>
        <v>0</v>
      </c>
      <c r="H32" s="739">
        <f t="shared" si="7"/>
        <v>0</v>
      </c>
      <c r="I32" s="45"/>
      <c r="J32" s="45"/>
      <c r="K32" s="45"/>
    </row>
    <row r="33" spans="1:11" x14ac:dyDescent="0.25">
      <c r="A33" s="33">
        <f t="shared" si="2"/>
        <v>28</v>
      </c>
      <c r="B33" s="363" t="s">
        <v>1057</v>
      </c>
      <c r="C33" s="517">
        <v>0</v>
      </c>
      <c r="D33" s="517">
        <v>0</v>
      </c>
      <c r="E33" s="517">
        <v>0</v>
      </c>
      <c r="F33" s="517">
        <v>0</v>
      </c>
      <c r="G33" s="738">
        <f t="shared" si="6"/>
        <v>0</v>
      </c>
      <c r="H33" s="739">
        <f t="shared" si="7"/>
        <v>0</v>
      </c>
      <c r="I33" s="45"/>
      <c r="J33" s="45"/>
      <c r="K33" s="45"/>
    </row>
    <row r="34" spans="1:11" x14ac:dyDescent="0.25">
      <c r="A34" s="33">
        <f t="shared" si="2"/>
        <v>29</v>
      </c>
      <c r="B34" s="363" t="s">
        <v>1185</v>
      </c>
      <c r="C34" s="517">
        <v>184690.8</v>
      </c>
      <c r="D34" s="517">
        <v>0</v>
      </c>
      <c r="E34" s="517">
        <v>189820.09</v>
      </c>
      <c r="F34" s="517">
        <v>0</v>
      </c>
      <c r="G34" s="738">
        <f t="shared" si="6"/>
        <v>5129.2900000000081</v>
      </c>
      <c r="H34" s="739">
        <f t="shared" si="7"/>
        <v>0</v>
      </c>
      <c r="I34" s="826"/>
      <c r="J34" s="45"/>
      <c r="K34" s="45"/>
    </row>
    <row r="35" spans="1:11" x14ac:dyDescent="0.25">
      <c r="A35" s="33">
        <f t="shared" si="2"/>
        <v>30</v>
      </c>
      <c r="B35" s="363" t="s">
        <v>1058</v>
      </c>
      <c r="C35" s="517">
        <v>1739.93</v>
      </c>
      <c r="D35" s="517">
        <v>0</v>
      </c>
      <c r="E35" s="517">
        <v>2048.1999999999998</v>
      </c>
      <c r="F35" s="517">
        <v>0</v>
      </c>
      <c r="G35" s="439">
        <f t="shared" ref="G35:G36" si="9">G36+G37+G38+G39</f>
        <v>-2717148.04</v>
      </c>
      <c r="H35" s="441">
        <f t="shared" ref="H35:H36" si="10">H36+H37+H38+H39</f>
        <v>401609.83999999997</v>
      </c>
      <c r="I35" s="45"/>
      <c r="J35" s="45"/>
      <c r="K35" s="45"/>
    </row>
    <row r="36" spans="1:11" ht="31.5" x14ac:dyDescent="0.25">
      <c r="A36" s="33">
        <f t="shared" si="2"/>
        <v>31</v>
      </c>
      <c r="B36" s="363" t="s">
        <v>1059</v>
      </c>
      <c r="C36" s="517">
        <v>2239.2800000000002</v>
      </c>
      <c r="D36" s="517">
        <v>0</v>
      </c>
      <c r="E36" s="517">
        <v>1311</v>
      </c>
      <c r="F36" s="517">
        <v>0</v>
      </c>
      <c r="G36" s="439">
        <f t="shared" si="9"/>
        <v>-1358574.02</v>
      </c>
      <c r="H36" s="441">
        <f t="shared" si="10"/>
        <v>200804.91999999998</v>
      </c>
      <c r="I36" s="45"/>
      <c r="J36" s="45"/>
      <c r="K36" s="45"/>
    </row>
    <row r="37" spans="1:11" s="360" customFormat="1" ht="15.75" customHeight="1" x14ac:dyDescent="0.3">
      <c r="A37" s="33">
        <f t="shared" si="2"/>
        <v>32</v>
      </c>
      <c r="B37" s="361" t="s">
        <v>1149</v>
      </c>
      <c r="C37" s="741">
        <f>SUM(C38:C48)</f>
        <v>4006253.9800000004</v>
      </c>
      <c r="D37" s="741">
        <f t="shared" ref="D37:F37" si="11">SUM(D38:D48)</f>
        <v>861999.78</v>
      </c>
      <c r="E37" s="741">
        <f t="shared" si="11"/>
        <v>2690280.71</v>
      </c>
      <c r="F37" s="741">
        <f t="shared" si="11"/>
        <v>1060852.6299999999</v>
      </c>
      <c r="G37" s="741">
        <f t="shared" ref="G37:H37" si="12">SUM(G38:G48)</f>
        <v>-1315973.2700000003</v>
      </c>
      <c r="H37" s="742">
        <f t="shared" si="12"/>
        <v>198852.84999999998</v>
      </c>
      <c r="I37" s="827"/>
      <c r="J37" s="827"/>
      <c r="K37" s="827"/>
    </row>
    <row r="38" spans="1:11" x14ac:dyDescent="0.25">
      <c r="A38" s="33">
        <f t="shared" si="2"/>
        <v>33</v>
      </c>
      <c r="B38" s="272" t="s">
        <v>104</v>
      </c>
      <c r="C38" s="517">
        <v>0</v>
      </c>
      <c r="D38" s="517"/>
      <c r="E38" s="517">
        <v>663.87</v>
      </c>
      <c r="F38" s="517">
        <v>0</v>
      </c>
      <c r="G38" s="738">
        <f t="shared" si="1"/>
        <v>663.87</v>
      </c>
      <c r="H38" s="739">
        <f t="shared" si="1"/>
        <v>0</v>
      </c>
      <c r="I38" s="45"/>
      <c r="J38" s="45"/>
      <c r="K38" s="45"/>
    </row>
    <row r="39" spans="1:11" x14ac:dyDescent="0.25">
      <c r="A39" s="33">
        <f t="shared" si="2"/>
        <v>34</v>
      </c>
      <c r="B39" s="272" t="s">
        <v>1105</v>
      </c>
      <c r="C39" s="517">
        <v>48944.81</v>
      </c>
      <c r="D39" s="517">
        <v>0</v>
      </c>
      <c r="E39" s="517">
        <v>5680.19</v>
      </c>
      <c r="F39" s="517">
        <v>1952.07</v>
      </c>
      <c r="G39" s="738">
        <f t="shared" si="1"/>
        <v>-43264.619999999995</v>
      </c>
      <c r="H39" s="739">
        <f t="shared" si="1"/>
        <v>1952.07</v>
      </c>
      <c r="I39" s="45"/>
      <c r="J39" s="45"/>
      <c r="K39" s="45"/>
    </row>
    <row r="40" spans="1:11" x14ac:dyDescent="0.25">
      <c r="A40" s="33">
        <f t="shared" si="2"/>
        <v>35</v>
      </c>
      <c r="B40" s="272" t="s">
        <v>105</v>
      </c>
      <c r="C40" s="517">
        <v>0</v>
      </c>
      <c r="D40" s="517"/>
      <c r="E40" s="517">
        <v>0</v>
      </c>
      <c r="F40" s="517">
        <v>0</v>
      </c>
      <c r="G40" s="738">
        <f t="shared" si="1"/>
        <v>0</v>
      </c>
      <c r="H40" s="739">
        <f t="shared" si="1"/>
        <v>0</v>
      </c>
      <c r="I40" s="45"/>
      <c r="J40" s="45"/>
      <c r="K40" s="45"/>
    </row>
    <row r="41" spans="1:11" x14ac:dyDescent="0.25">
      <c r="A41" s="33">
        <f t="shared" si="2"/>
        <v>36</v>
      </c>
      <c r="B41" s="272" t="s">
        <v>106</v>
      </c>
      <c r="C41" s="517">
        <v>0</v>
      </c>
      <c r="D41" s="517"/>
      <c r="E41" s="517">
        <v>0</v>
      </c>
      <c r="F41" s="517">
        <v>0</v>
      </c>
      <c r="G41" s="738">
        <f t="shared" si="1"/>
        <v>0</v>
      </c>
      <c r="H41" s="739">
        <f t="shared" si="1"/>
        <v>0</v>
      </c>
      <c r="I41" s="45"/>
      <c r="J41" s="45"/>
      <c r="K41" s="45"/>
    </row>
    <row r="42" spans="1:11" x14ac:dyDescent="0.25">
      <c r="A42" s="33">
        <f t="shared" si="2"/>
        <v>37</v>
      </c>
      <c r="B42" s="272" t="s">
        <v>107</v>
      </c>
      <c r="C42" s="517">
        <v>0</v>
      </c>
      <c r="D42" s="517"/>
      <c r="E42" s="517">
        <v>0</v>
      </c>
      <c r="F42" s="517">
        <v>0</v>
      </c>
      <c r="G42" s="738">
        <f t="shared" si="1"/>
        <v>0</v>
      </c>
      <c r="H42" s="739">
        <f t="shared" si="1"/>
        <v>0</v>
      </c>
      <c r="I42" s="45"/>
      <c r="J42" s="45"/>
      <c r="K42" s="45"/>
    </row>
    <row r="43" spans="1:11" x14ac:dyDescent="0.25">
      <c r="A43" s="33">
        <f t="shared" si="2"/>
        <v>38</v>
      </c>
      <c r="B43" s="272" t="s">
        <v>108</v>
      </c>
      <c r="C43" s="517">
        <v>0</v>
      </c>
      <c r="D43" s="517"/>
      <c r="E43" s="517">
        <v>-2872.31</v>
      </c>
      <c r="F43" s="517">
        <v>0</v>
      </c>
      <c r="G43" s="738">
        <f t="shared" si="1"/>
        <v>-2872.31</v>
      </c>
      <c r="H43" s="739">
        <f t="shared" si="1"/>
        <v>0</v>
      </c>
      <c r="I43" s="45"/>
      <c r="J43" s="45"/>
      <c r="K43" s="45"/>
    </row>
    <row r="44" spans="1:11" x14ac:dyDescent="0.25">
      <c r="A44" s="33">
        <f t="shared" si="2"/>
        <v>39</v>
      </c>
      <c r="B44" s="272" t="s">
        <v>109</v>
      </c>
      <c r="C44" s="517">
        <v>1157927.0900000001</v>
      </c>
      <c r="D44" s="517">
        <v>1.28</v>
      </c>
      <c r="E44" s="517">
        <v>1230134.28</v>
      </c>
      <c r="F44" s="517">
        <v>4.97</v>
      </c>
      <c r="G44" s="738">
        <f t="shared" si="1"/>
        <v>72207.189999999944</v>
      </c>
      <c r="H44" s="739">
        <f t="shared" si="1"/>
        <v>3.6899999999999995</v>
      </c>
      <c r="I44" s="45"/>
      <c r="J44" s="45"/>
      <c r="K44" s="45"/>
    </row>
    <row r="45" spans="1:11" x14ac:dyDescent="0.25">
      <c r="A45" s="33">
        <f t="shared" si="2"/>
        <v>40</v>
      </c>
      <c r="B45" s="291" t="s">
        <v>811</v>
      </c>
      <c r="C45" s="517">
        <v>0</v>
      </c>
      <c r="D45" s="517"/>
      <c r="E45" s="517">
        <v>0</v>
      </c>
      <c r="F45" s="517">
        <v>0</v>
      </c>
      <c r="G45" s="738">
        <f t="shared" si="1"/>
        <v>0</v>
      </c>
      <c r="H45" s="739">
        <f t="shared" si="1"/>
        <v>0</v>
      </c>
      <c r="I45" s="45"/>
      <c r="J45" s="45"/>
      <c r="K45" s="45"/>
    </row>
    <row r="46" spans="1:11" x14ac:dyDescent="0.25">
      <c r="A46" s="33">
        <f t="shared" si="2"/>
        <v>41</v>
      </c>
      <c r="B46" s="272" t="s">
        <v>110</v>
      </c>
      <c r="C46" s="517">
        <v>13733.86</v>
      </c>
      <c r="D46" s="517"/>
      <c r="E46" s="517">
        <v>1902.95</v>
      </c>
      <c r="F46" s="517">
        <v>109.13</v>
      </c>
      <c r="G46" s="738">
        <f t="shared" si="1"/>
        <v>-11830.91</v>
      </c>
      <c r="H46" s="739">
        <f t="shared" si="1"/>
        <v>109.13</v>
      </c>
      <c r="I46" s="45"/>
      <c r="J46" s="45"/>
      <c r="K46" s="45"/>
    </row>
    <row r="47" spans="1:11" x14ac:dyDescent="0.25">
      <c r="A47" s="33">
        <f t="shared" si="2"/>
        <v>42</v>
      </c>
      <c r="B47" s="272" t="s">
        <v>1106</v>
      </c>
      <c r="C47" s="517">
        <v>0</v>
      </c>
      <c r="D47" s="517"/>
      <c r="E47" s="517">
        <v>0</v>
      </c>
      <c r="F47" s="517">
        <v>0</v>
      </c>
      <c r="G47" s="738"/>
      <c r="H47" s="739"/>
      <c r="I47" s="45"/>
      <c r="J47" s="45"/>
      <c r="K47" s="45"/>
    </row>
    <row r="48" spans="1:11" ht="31.5" x14ac:dyDescent="0.25">
      <c r="A48" s="33">
        <f t="shared" si="2"/>
        <v>43</v>
      </c>
      <c r="B48" s="290" t="s">
        <v>1186</v>
      </c>
      <c r="C48" s="517">
        <v>2785648.22</v>
      </c>
      <c r="D48" s="517">
        <v>861998.5</v>
      </c>
      <c r="E48" s="517">
        <v>1454771.73</v>
      </c>
      <c r="F48" s="517">
        <v>1058786.46</v>
      </c>
      <c r="G48" s="738">
        <f t="shared" si="1"/>
        <v>-1330876.4900000002</v>
      </c>
      <c r="H48" s="739">
        <f t="shared" si="1"/>
        <v>196787.95999999996</v>
      </c>
      <c r="I48" s="826"/>
      <c r="J48" s="45"/>
      <c r="K48" s="45"/>
    </row>
    <row r="49" spans="1:11" x14ac:dyDescent="0.25">
      <c r="A49" s="33">
        <f t="shared" si="2"/>
        <v>44</v>
      </c>
      <c r="B49" s="289" t="s">
        <v>352</v>
      </c>
      <c r="C49" s="517">
        <v>0</v>
      </c>
      <c r="D49" s="517">
        <v>2746</v>
      </c>
      <c r="E49" s="517">
        <v>0</v>
      </c>
      <c r="F49" s="517">
        <v>1029226</v>
      </c>
      <c r="G49" s="738">
        <f t="shared" si="1"/>
        <v>0</v>
      </c>
      <c r="H49" s="739">
        <f t="shared" si="1"/>
        <v>1026480</v>
      </c>
      <c r="I49" s="45"/>
      <c r="J49" s="45"/>
      <c r="K49" s="45"/>
    </row>
    <row r="50" spans="1:11" x14ac:dyDescent="0.25">
      <c r="A50" s="33">
        <f t="shared" si="2"/>
        <v>45</v>
      </c>
      <c r="B50" s="289" t="s">
        <v>143</v>
      </c>
      <c r="C50" s="517">
        <v>0</v>
      </c>
      <c r="D50" s="517">
        <v>0</v>
      </c>
      <c r="E50" s="517">
        <v>0</v>
      </c>
      <c r="F50" s="517">
        <v>747000</v>
      </c>
      <c r="G50" s="738">
        <f t="shared" si="1"/>
        <v>0</v>
      </c>
      <c r="H50" s="739">
        <f t="shared" si="1"/>
        <v>747000</v>
      </c>
      <c r="I50" s="45"/>
      <c r="J50" s="45"/>
      <c r="K50" s="45"/>
    </row>
    <row r="51" spans="1:11" x14ac:dyDescent="0.25">
      <c r="A51" s="33">
        <f t="shared" si="2"/>
        <v>46</v>
      </c>
      <c r="B51" s="289" t="s">
        <v>140</v>
      </c>
      <c r="C51" s="517">
        <v>0</v>
      </c>
      <c r="D51" s="517">
        <v>0</v>
      </c>
      <c r="E51" s="517">
        <v>0</v>
      </c>
      <c r="F51" s="517">
        <v>0</v>
      </c>
      <c r="G51" s="738">
        <f t="shared" si="1"/>
        <v>0</v>
      </c>
      <c r="H51" s="739">
        <f t="shared" si="1"/>
        <v>0</v>
      </c>
      <c r="I51" s="45"/>
      <c r="J51" s="45"/>
      <c r="K51" s="45"/>
    </row>
    <row r="52" spans="1:11" x14ac:dyDescent="0.25">
      <c r="A52" s="33">
        <f t="shared" si="2"/>
        <v>47</v>
      </c>
      <c r="B52" s="289" t="s">
        <v>329</v>
      </c>
      <c r="C52" s="517">
        <v>0</v>
      </c>
      <c r="D52" s="517">
        <v>1557</v>
      </c>
      <c r="E52" s="517">
        <v>0</v>
      </c>
      <c r="F52" s="517">
        <v>38.200000000000003</v>
      </c>
      <c r="G52" s="738">
        <f t="shared" si="1"/>
        <v>0</v>
      </c>
      <c r="H52" s="739">
        <f t="shared" si="1"/>
        <v>-1518.8</v>
      </c>
      <c r="I52" s="45"/>
      <c r="J52" s="45"/>
      <c r="K52" s="45"/>
    </row>
    <row r="53" spans="1:11" x14ac:dyDescent="0.25">
      <c r="A53" s="33">
        <f t="shared" si="2"/>
        <v>48</v>
      </c>
      <c r="B53" s="289" t="s">
        <v>264</v>
      </c>
      <c r="C53" s="517">
        <v>0</v>
      </c>
      <c r="D53" s="517">
        <v>0</v>
      </c>
      <c r="E53" s="517">
        <v>0</v>
      </c>
      <c r="F53" s="517">
        <v>0</v>
      </c>
      <c r="G53" s="738">
        <f t="shared" si="1"/>
        <v>0</v>
      </c>
      <c r="H53" s="739">
        <f t="shared" si="1"/>
        <v>0</v>
      </c>
      <c r="I53" s="45"/>
      <c r="J53" s="45"/>
      <c r="K53" s="45"/>
    </row>
    <row r="54" spans="1:11" ht="18.75" x14ac:dyDescent="0.25">
      <c r="A54" s="33">
        <f t="shared" si="2"/>
        <v>49</v>
      </c>
      <c r="B54" s="289" t="s">
        <v>1148</v>
      </c>
      <c r="C54" s="743">
        <f>SUM(C55:C59)</f>
        <v>1027607.31</v>
      </c>
      <c r="D54" s="743">
        <f t="shared" ref="D54:F54" si="13">SUM(D55:D59)</f>
        <v>0</v>
      </c>
      <c r="E54" s="743">
        <f t="shared" si="13"/>
        <v>1237171.67</v>
      </c>
      <c r="F54" s="743">
        <f t="shared" si="13"/>
        <v>32790</v>
      </c>
      <c r="G54" s="738">
        <f t="shared" si="1"/>
        <v>209564.35999999987</v>
      </c>
      <c r="H54" s="739">
        <f t="shared" si="1"/>
        <v>32790</v>
      </c>
      <c r="I54" s="824"/>
      <c r="J54" s="824"/>
      <c r="K54" s="45"/>
    </row>
    <row r="55" spans="1:11" x14ac:dyDescent="0.25">
      <c r="A55" s="33">
        <f t="shared" si="2"/>
        <v>50</v>
      </c>
      <c r="B55" s="272" t="s">
        <v>242</v>
      </c>
      <c r="C55" s="517">
        <v>611967.04</v>
      </c>
      <c r="D55" s="736" t="s">
        <v>320</v>
      </c>
      <c r="E55" s="517">
        <v>818571.27</v>
      </c>
      <c r="F55" s="736">
        <v>1000</v>
      </c>
      <c r="G55" s="738">
        <f t="shared" si="1"/>
        <v>206604.22999999998</v>
      </c>
      <c r="H55" s="739" t="s">
        <v>320</v>
      </c>
      <c r="I55" s="45"/>
      <c r="J55" s="45"/>
      <c r="K55" s="45"/>
    </row>
    <row r="56" spans="1:11" x14ac:dyDescent="0.25">
      <c r="A56" s="33">
        <f t="shared" si="2"/>
        <v>51</v>
      </c>
      <c r="B56" s="272" t="s">
        <v>111</v>
      </c>
      <c r="C56" s="517">
        <v>49531.839999999997</v>
      </c>
      <c r="D56" s="736" t="s">
        <v>320</v>
      </c>
      <c r="E56" s="517">
        <v>105771.09</v>
      </c>
      <c r="F56" s="736" t="s">
        <v>320</v>
      </c>
      <c r="G56" s="738">
        <f t="shared" si="1"/>
        <v>56239.25</v>
      </c>
      <c r="H56" s="739" t="s">
        <v>320</v>
      </c>
      <c r="I56" s="45"/>
      <c r="J56" s="45"/>
      <c r="K56" s="45"/>
    </row>
    <row r="57" spans="1:11" ht="31.5" x14ac:dyDescent="0.25">
      <c r="A57" s="33">
        <f t="shared" si="2"/>
        <v>52</v>
      </c>
      <c r="B57" s="290" t="s">
        <v>884</v>
      </c>
      <c r="C57" s="517">
        <v>0</v>
      </c>
      <c r="D57" s="736" t="s">
        <v>320</v>
      </c>
      <c r="E57" s="517">
        <v>0</v>
      </c>
      <c r="F57" s="736" t="s">
        <v>320</v>
      </c>
      <c r="G57" s="738">
        <f t="shared" si="1"/>
        <v>0</v>
      </c>
      <c r="H57" s="739" t="s">
        <v>320</v>
      </c>
      <c r="I57" s="45"/>
      <c r="J57" s="45"/>
      <c r="K57" s="45"/>
    </row>
    <row r="58" spans="1:11" ht="18.75" x14ac:dyDescent="0.25">
      <c r="A58" s="33">
        <f t="shared" si="2"/>
        <v>53</v>
      </c>
      <c r="B58" s="272" t="s">
        <v>831</v>
      </c>
      <c r="C58" s="517">
        <v>0</v>
      </c>
      <c r="D58" s="736" t="s">
        <v>320</v>
      </c>
      <c r="E58" s="517">
        <v>0</v>
      </c>
      <c r="F58" s="736" t="s">
        <v>320</v>
      </c>
      <c r="G58" s="738">
        <f t="shared" si="1"/>
        <v>0</v>
      </c>
      <c r="H58" s="739" t="s">
        <v>320</v>
      </c>
      <c r="I58" s="45"/>
      <c r="J58" s="45"/>
      <c r="K58" s="45"/>
    </row>
    <row r="59" spans="1:11" x14ac:dyDescent="0.25">
      <c r="A59" s="33">
        <f t="shared" si="2"/>
        <v>54</v>
      </c>
      <c r="B59" s="272" t="s">
        <v>878</v>
      </c>
      <c r="C59" s="517">
        <v>366108.43</v>
      </c>
      <c r="D59" s="736" t="s">
        <v>320</v>
      </c>
      <c r="E59" s="517">
        <v>312829.31</v>
      </c>
      <c r="F59" s="736">
        <v>31790</v>
      </c>
      <c r="G59" s="738">
        <f t="shared" si="1"/>
        <v>-53279.119999999995</v>
      </c>
      <c r="H59" s="739" t="s">
        <v>320</v>
      </c>
      <c r="I59" s="45"/>
      <c r="J59" s="45"/>
      <c r="K59" s="45"/>
    </row>
    <row r="60" spans="1:11" x14ac:dyDescent="0.25">
      <c r="A60" s="33">
        <f t="shared" si="2"/>
        <v>55</v>
      </c>
      <c r="B60" s="289" t="s">
        <v>353</v>
      </c>
      <c r="C60" s="517">
        <v>0</v>
      </c>
      <c r="D60" s="517">
        <v>0</v>
      </c>
      <c r="E60" s="517">
        <v>0</v>
      </c>
      <c r="F60" s="517">
        <v>0</v>
      </c>
      <c r="G60" s="738">
        <f t="shared" si="1"/>
        <v>0</v>
      </c>
      <c r="H60" s="739">
        <f t="shared" si="1"/>
        <v>0</v>
      </c>
      <c r="I60" s="45"/>
      <c r="J60" s="45"/>
      <c r="K60" s="45"/>
    </row>
    <row r="61" spans="1:11" x14ac:dyDescent="0.25">
      <c r="A61" s="33">
        <f t="shared" si="2"/>
        <v>56</v>
      </c>
      <c r="B61" s="289" t="s">
        <v>141</v>
      </c>
      <c r="C61" s="517">
        <v>4343.87</v>
      </c>
      <c r="D61" s="517">
        <v>1288453.02</v>
      </c>
      <c r="E61" s="517">
        <v>58.28</v>
      </c>
      <c r="F61" s="517">
        <v>1404443.74</v>
      </c>
      <c r="G61" s="738">
        <f t="shared" si="1"/>
        <v>-4285.59</v>
      </c>
      <c r="H61" s="739">
        <f t="shared" si="1"/>
        <v>115990.71999999997</v>
      </c>
      <c r="I61" s="45"/>
      <c r="J61" s="45"/>
      <c r="K61" s="45"/>
    </row>
    <row r="62" spans="1:11" x14ac:dyDescent="0.25">
      <c r="A62" s="33">
        <f t="shared" si="2"/>
        <v>57</v>
      </c>
      <c r="B62" s="292" t="s">
        <v>144</v>
      </c>
      <c r="C62" s="517">
        <v>71231.320000000007</v>
      </c>
      <c r="D62" s="517">
        <v>0</v>
      </c>
      <c r="E62" s="517">
        <v>98311.28</v>
      </c>
      <c r="F62" s="517">
        <v>0</v>
      </c>
      <c r="G62" s="738">
        <f t="shared" si="1"/>
        <v>27079.959999999992</v>
      </c>
      <c r="H62" s="739">
        <f t="shared" si="1"/>
        <v>0</v>
      </c>
      <c r="I62" s="375"/>
      <c r="J62" s="45"/>
      <c r="K62" s="45"/>
    </row>
    <row r="63" spans="1:11" x14ac:dyDescent="0.25">
      <c r="A63" s="33">
        <f t="shared" si="2"/>
        <v>58</v>
      </c>
      <c r="B63" s="292" t="s">
        <v>1075</v>
      </c>
      <c r="C63" s="517">
        <v>0</v>
      </c>
      <c r="D63" s="517">
        <v>0</v>
      </c>
      <c r="E63" s="517">
        <v>0</v>
      </c>
      <c r="F63" s="517">
        <v>0</v>
      </c>
      <c r="G63" s="738">
        <f t="shared" ref="G63" si="14">E63-C63</f>
        <v>0</v>
      </c>
      <c r="H63" s="739">
        <f t="shared" ref="H63" si="15">F63-D63</f>
        <v>0</v>
      </c>
      <c r="I63" s="375"/>
      <c r="J63" s="45"/>
      <c r="K63" s="45"/>
    </row>
    <row r="64" spans="1:11" x14ac:dyDescent="0.25">
      <c r="A64" s="33">
        <f t="shared" si="2"/>
        <v>59</v>
      </c>
      <c r="B64" s="293" t="s">
        <v>1076</v>
      </c>
      <c r="C64" s="517">
        <v>0</v>
      </c>
      <c r="D64" s="517">
        <v>0</v>
      </c>
      <c r="E64" s="517">
        <v>0</v>
      </c>
      <c r="F64" s="517">
        <v>0</v>
      </c>
      <c r="G64" s="738">
        <f>E64-C64</f>
        <v>0</v>
      </c>
      <c r="H64" s="739">
        <f t="shared" si="1"/>
        <v>0</v>
      </c>
      <c r="I64" s="375"/>
      <c r="J64" s="45"/>
      <c r="K64" s="45"/>
    </row>
    <row r="65" spans="1:11" x14ac:dyDescent="0.25">
      <c r="A65" s="33">
        <f t="shared" si="2"/>
        <v>60</v>
      </c>
      <c r="B65" s="381" t="s">
        <v>1107</v>
      </c>
      <c r="C65" s="744">
        <v>0</v>
      </c>
      <c r="D65" s="744">
        <v>0</v>
      </c>
      <c r="E65" s="744">
        <v>0</v>
      </c>
      <c r="F65" s="744">
        <v>0</v>
      </c>
      <c r="G65" s="738">
        <f>E65-C65</f>
        <v>0</v>
      </c>
      <c r="H65" s="739">
        <f t="shared" ref="H65" si="16">F65-D65</f>
        <v>0</v>
      </c>
      <c r="I65" s="375"/>
      <c r="J65" s="45"/>
      <c r="K65" s="45"/>
    </row>
    <row r="66" spans="1:11" x14ac:dyDescent="0.25">
      <c r="A66" s="33">
        <f t="shared" si="2"/>
        <v>61</v>
      </c>
      <c r="B66" s="289" t="s">
        <v>145</v>
      </c>
      <c r="C66" s="517">
        <v>78248784.390000001</v>
      </c>
      <c r="D66" s="517">
        <v>0</v>
      </c>
      <c r="E66" s="517">
        <v>81910335.680000007</v>
      </c>
      <c r="F66" s="517">
        <v>0</v>
      </c>
      <c r="G66" s="738">
        <f t="shared" si="1"/>
        <v>3661551.2900000066</v>
      </c>
      <c r="H66" s="739">
        <f t="shared" si="1"/>
        <v>0</v>
      </c>
      <c r="I66" s="45"/>
      <c r="J66" s="45"/>
      <c r="K66" s="45"/>
    </row>
    <row r="67" spans="1:11" x14ac:dyDescent="0.25">
      <c r="A67" s="33">
        <f t="shared" si="2"/>
        <v>62</v>
      </c>
      <c r="B67" s="294" t="s">
        <v>306</v>
      </c>
      <c r="C67" s="745"/>
      <c r="D67" s="745"/>
      <c r="E67" s="745"/>
      <c r="F67" s="745"/>
      <c r="G67" s="738">
        <f t="shared" si="1"/>
        <v>0</v>
      </c>
      <c r="H67" s="739">
        <f t="shared" si="1"/>
        <v>0</v>
      </c>
      <c r="I67" s="45"/>
      <c r="J67" s="45"/>
      <c r="K67" s="45"/>
    </row>
    <row r="68" spans="1:11" x14ac:dyDescent="0.25">
      <c r="A68" s="33">
        <f t="shared" si="2"/>
        <v>63</v>
      </c>
      <c r="B68" s="294" t="s">
        <v>163</v>
      </c>
      <c r="C68" s="746">
        <v>1930219.71</v>
      </c>
      <c r="D68" s="746">
        <v>0</v>
      </c>
      <c r="E68" s="746">
        <v>0</v>
      </c>
      <c r="F68" s="746">
        <v>0</v>
      </c>
      <c r="G68" s="738">
        <f t="shared" si="1"/>
        <v>-1930219.71</v>
      </c>
      <c r="H68" s="739">
        <f t="shared" si="1"/>
        <v>0</v>
      </c>
      <c r="I68" s="45"/>
      <c r="J68" s="45"/>
      <c r="K68" s="45"/>
    </row>
    <row r="69" spans="1:11" s="123" customFormat="1" ht="45" thickBot="1" x14ac:dyDescent="0.3">
      <c r="A69" s="33">
        <f t="shared" si="2"/>
        <v>64</v>
      </c>
      <c r="B69" s="410" t="s">
        <v>1184</v>
      </c>
      <c r="C69" s="397">
        <f>C6+C11+C16+C17+C18+C19+C20+C21+C24+C25+C30+C37+C49+C50+C51+C52+C53+C54+C60+C61+C62+C63+C64+C65+C66</f>
        <v>90451088.680000007</v>
      </c>
      <c r="D69" s="397">
        <f t="shared" ref="D69:F69" si="17">D6+D11+D16+D17+D18+D19+D20+D21+D24+D25+D30+D37+D49+D50+D51+D52+D53+D54+D60+D61+D62+D63+D64+D65+D66</f>
        <v>7589084.25</v>
      </c>
      <c r="E69" s="397">
        <f t="shared" si="17"/>
        <v>92678830.830000013</v>
      </c>
      <c r="F69" s="397">
        <f t="shared" si="17"/>
        <v>10014131.939999999</v>
      </c>
      <c r="G69" s="747">
        <f t="shared" si="1"/>
        <v>2227742.150000006</v>
      </c>
      <c r="H69" s="748">
        <f t="shared" si="1"/>
        <v>2425047.6899999995</v>
      </c>
      <c r="I69" s="828"/>
      <c r="J69" s="375"/>
      <c r="K69" s="829"/>
    </row>
    <row r="70" spans="1:11" ht="21" customHeight="1" x14ac:dyDescent="0.25">
      <c r="B70" s="3"/>
      <c r="C70" s="3"/>
      <c r="D70" s="348">
        <f>C69+D69</f>
        <v>98040172.930000007</v>
      </c>
      <c r="E70" s="349"/>
      <c r="F70" s="348">
        <f>E69+F69</f>
        <v>102692962.77000001</v>
      </c>
      <c r="G70" s="3"/>
      <c r="H70" s="3"/>
      <c r="I70" s="45"/>
      <c r="J70" s="45"/>
      <c r="K70" s="45"/>
    </row>
    <row r="71" spans="1:11" x14ac:dyDescent="0.25">
      <c r="A71" s="879" t="s">
        <v>1104</v>
      </c>
      <c r="B71" s="880"/>
      <c r="C71" s="880"/>
      <c r="D71" s="880"/>
      <c r="E71" s="880"/>
      <c r="F71" s="880"/>
      <c r="G71" s="880"/>
      <c r="H71" s="881"/>
      <c r="I71" s="374"/>
    </row>
    <row r="72" spans="1:11" ht="30.75" customHeight="1" x14ac:dyDescent="0.25">
      <c r="A72" s="882" t="s">
        <v>243</v>
      </c>
      <c r="B72" s="883"/>
      <c r="C72" s="883"/>
      <c r="D72" s="883"/>
      <c r="E72" s="883"/>
      <c r="F72" s="883"/>
      <c r="G72" s="883"/>
      <c r="H72" s="884"/>
      <c r="I72" s="45"/>
    </row>
    <row r="74" spans="1:11" x14ac:dyDescent="0.25">
      <c r="C74" s="426">
        <f>C6+C11+C16+C17+C18+C19+C20+C21+C25+C30+C37+C49+C50+C51+C52+C53+C54+C60+C61+C62+C63+C64+C65+C66</f>
        <v>90450897.25</v>
      </c>
    </row>
    <row r="75" spans="1:11" ht="18.75" customHeight="1" x14ac:dyDescent="0.25"/>
  </sheetData>
  <mergeCells count="9">
    <mergeCell ref="A71:H71"/>
    <mergeCell ref="A72:H72"/>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48" max="16383" man="1"/>
  </rowBreaks>
  <ignoredErrors>
    <ignoredError sqref="C2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90" zoomScaleNormal="90" workbookViewId="0">
      <selection activeCell="D24" sqref="D24"/>
    </sheetView>
  </sheetViews>
  <sheetFormatPr defaultColWidth="9.140625" defaultRowHeight="15.75" x14ac:dyDescent="0.25"/>
  <cols>
    <col min="1" max="1" width="7.85546875" style="3" customWidth="1"/>
    <col min="2" max="2" width="89" style="6" customWidth="1"/>
    <col min="3" max="3" width="16.85546875" style="1" customWidth="1"/>
    <col min="4" max="4" width="17.28515625" style="1" customWidth="1"/>
    <col min="5" max="5" width="10" style="1" customWidth="1"/>
    <col min="6" max="6" width="10" style="1" bestFit="1" customWidth="1"/>
    <col min="7" max="9" width="9.140625" style="1"/>
    <col min="10" max="10" width="37" style="1" customWidth="1"/>
    <col min="11" max="16384" width="9.140625" style="1"/>
  </cols>
  <sheetData>
    <row r="1" spans="1:10" ht="45.75" customHeight="1" thickBot="1" x14ac:dyDescent="0.3">
      <c r="A1" s="894" t="s">
        <v>991</v>
      </c>
      <c r="B1" s="895"/>
      <c r="C1" s="895"/>
      <c r="D1" s="896"/>
    </row>
    <row r="2" spans="1:10" ht="37.5" customHeight="1" x14ac:dyDescent="0.25">
      <c r="A2" s="873" t="s">
        <v>1323</v>
      </c>
      <c r="B2" s="874"/>
      <c r="C2" s="874"/>
      <c r="D2" s="875"/>
    </row>
    <row r="3" spans="1:10" s="10" customFormat="1" ht="31.5" x14ac:dyDescent="0.25">
      <c r="A3" s="314" t="s">
        <v>208</v>
      </c>
      <c r="B3" s="316" t="s">
        <v>335</v>
      </c>
      <c r="C3" s="315">
        <v>2015</v>
      </c>
      <c r="D3" s="288">
        <v>2016</v>
      </c>
    </row>
    <row r="4" spans="1:10" s="10" customFormat="1" x14ac:dyDescent="0.25">
      <c r="A4" s="314"/>
      <c r="B4" s="316"/>
      <c r="C4" s="315" t="s">
        <v>289</v>
      </c>
      <c r="D4" s="288" t="s">
        <v>290</v>
      </c>
      <c r="F4" s="81"/>
    </row>
    <row r="5" spans="1:10" x14ac:dyDescent="0.25">
      <c r="A5" s="33">
        <v>1</v>
      </c>
      <c r="B5" s="289" t="s">
        <v>1110</v>
      </c>
      <c r="C5" s="505">
        <f>+SUM(C6:C10)</f>
        <v>1782909.06</v>
      </c>
      <c r="D5" s="749">
        <f>+SUM(D6:D10)</f>
        <v>1202823.1299999999</v>
      </c>
      <c r="E5" s="519"/>
      <c r="F5" s="520"/>
      <c r="G5" s="198"/>
      <c r="H5" s="198"/>
    </row>
    <row r="6" spans="1:10" x14ac:dyDescent="0.25">
      <c r="A6" s="33">
        <v>2</v>
      </c>
      <c r="B6" s="272" t="s">
        <v>933</v>
      </c>
      <c r="C6" s="443">
        <v>3500</v>
      </c>
      <c r="D6" s="750">
        <v>5840</v>
      </c>
      <c r="E6" s="521"/>
      <c r="F6" s="522"/>
      <c r="G6" s="198"/>
      <c r="J6" s="182"/>
    </row>
    <row r="7" spans="1:10" x14ac:dyDescent="0.25">
      <c r="A7" s="33">
        <v>3</v>
      </c>
      <c r="B7" s="272" t="s">
        <v>875</v>
      </c>
      <c r="C7" s="561">
        <v>1357932.06</v>
      </c>
      <c r="D7" s="751">
        <v>824688.2</v>
      </c>
      <c r="E7" s="521"/>
      <c r="F7" s="523"/>
      <c r="G7" s="198"/>
    </row>
    <row r="8" spans="1:10" x14ac:dyDescent="0.25">
      <c r="A8" s="33">
        <v>4</v>
      </c>
      <c r="B8" s="272" t="s">
        <v>932</v>
      </c>
      <c r="C8" s="561">
        <v>207863</v>
      </c>
      <c r="D8" s="751">
        <v>233400</v>
      </c>
      <c r="E8" s="521"/>
      <c r="F8" s="523"/>
      <c r="G8" s="198"/>
    </row>
    <row r="9" spans="1:10" x14ac:dyDescent="0.25">
      <c r="A9" s="195">
        <v>5</v>
      </c>
      <c r="B9" s="272" t="s">
        <v>876</v>
      </c>
      <c r="C9" s="561">
        <v>133806</v>
      </c>
      <c r="D9" s="751">
        <v>138894.93</v>
      </c>
      <c r="E9" s="521"/>
      <c r="F9" s="523"/>
      <c r="G9" s="198"/>
    </row>
    <row r="10" spans="1:10" ht="18.75" x14ac:dyDescent="0.25">
      <c r="A10" s="195">
        <v>6</v>
      </c>
      <c r="B10" s="272" t="s">
        <v>902</v>
      </c>
      <c r="C10" s="561">
        <v>79808</v>
      </c>
      <c r="D10" s="751">
        <v>0</v>
      </c>
      <c r="E10" s="524"/>
      <c r="F10" s="523"/>
      <c r="G10" s="198"/>
    </row>
    <row r="11" spans="1:10" x14ac:dyDescent="0.25">
      <c r="A11" s="33">
        <v>7</v>
      </c>
      <c r="B11" s="56" t="s">
        <v>867</v>
      </c>
      <c r="C11" s="439">
        <f>SUM(C12:C17)</f>
        <v>560598.83000000007</v>
      </c>
      <c r="D11" s="752">
        <f>SUM(D12:D17)</f>
        <v>401884.49000000005</v>
      </c>
      <c r="E11" s="521"/>
      <c r="F11" s="525"/>
    </row>
    <row r="12" spans="1:10" x14ac:dyDescent="0.25">
      <c r="A12" s="33">
        <v>8</v>
      </c>
      <c r="B12" s="47" t="s">
        <v>795</v>
      </c>
      <c r="C12" s="443">
        <v>371928.82</v>
      </c>
      <c r="D12" s="750">
        <v>208705.2</v>
      </c>
      <c r="E12" s="526"/>
      <c r="F12" s="527"/>
    </row>
    <row r="13" spans="1:10" x14ac:dyDescent="0.25">
      <c r="A13" s="33">
        <v>9</v>
      </c>
      <c r="B13" s="47" t="s">
        <v>796</v>
      </c>
      <c r="C13" s="443">
        <v>0</v>
      </c>
      <c r="D13" s="750">
        <v>0</v>
      </c>
      <c r="E13" s="526"/>
      <c r="F13" s="527"/>
    </row>
    <row r="14" spans="1:10" x14ac:dyDescent="0.25">
      <c r="A14" s="33">
        <v>10</v>
      </c>
      <c r="B14" s="47" t="s">
        <v>797</v>
      </c>
      <c r="C14" s="443">
        <v>0</v>
      </c>
      <c r="D14" s="750">
        <v>0</v>
      </c>
      <c r="E14" s="526"/>
      <c r="F14" s="527"/>
    </row>
    <row r="15" spans="1:10" x14ac:dyDescent="0.25">
      <c r="A15" s="33">
        <v>11</v>
      </c>
      <c r="B15" s="47" t="s">
        <v>1188</v>
      </c>
      <c r="C15" s="443">
        <v>184690.8</v>
      </c>
      <c r="D15" s="750">
        <v>189820.09</v>
      </c>
      <c r="E15" s="528"/>
      <c r="F15" s="527"/>
      <c r="J15" s="182"/>
    </row>
    <row r="16" spans="1:10" ht="31.5" x14ac:dyDescent="0.25">
      <c r="A16" s="33">
        <v>12</v>
      </c>
      <c r="B16" s="47" t="s">
        <v>899</v>
      </c>
      <c r="C16" s="443">
        <v>1739.93</v>
      </c>
      <c r="D16" s="750">
        <v>2048.1999999999998</v>
      </c>
      <c r="E16" s="527"/>
      <c r="F16" s="529"/>
      <c r="G16" s="194"/>
      <c r="H16" s="194"/>
      <c r="J16" s="302"/>
    </row>
    <row r="17" spans="1:10" x14ac:dyDescent="0.25">
      <c r="A17" s="33">
        <v>13</v>
      </c>
      <c r="B17" s="47" t="s">
        <v>900</v>
      </c>
      <c r="C17" s="443">
        <v>2239.2800000000002</v>
      </c>
      <c r="D17" s="750">
        <v>1311</v>
      </c>
      <c r="E17" s="527"/>
      <c r="F17" s="529"/>
      <c r="G17" s="194"/>
      <c r="H17" s="194"/>
      <c r="J17" s="302"/>
    </row>
    <row r="18" spans="1:10" x14ac:dyDescent="0.25">
      <c r="A18" s="33">
        <v>14</v>
      </c>
      <c r="B18" s="56" t="s">
        <v>249</v>
      </c>
      <c r="C18" s="439">
        <f>(C6+C7)*0.2</f>
        <v>272286.41200000001</v>
      </c>
      <c r="D18" s="752">
        <f>(D6+D7)*0.2</f>
        <v>166105.64000000001</v>
      </c>
      <c r="E18" s="527"/>
      <c r="F18" s="527"/>
    </row>
    <row r="19" spans="1:10" ht="16.5" thickBot="1" x14ac:dyDescent="0.3">
      <c r="A19" s="34">
        <v>15</v>
      </c>
      <c r="B19" s="57" t="s">
        <v>341</v>
      </c>
      <c r="C19" s="753">
        <v>231899.73</v>
      </c>
      <c r="D19" s="754">
        <v>202908.44</v>
      </c>
      <c r="E19" s="523"/>
      <c r="F19" s="523"/>
      <c r="G19" s="530"/>
      <c r="H19" s="531"/>
    </row>
    <row r="20" spans="1:10" x14ac:dyDescent="0.25">
      <c r="B20" s="9"/>
    </row>
    <row r="21" spans="1:10" ht="18.75" x14ac:dyDescent="0.25">
      <c r="A21" s="251"/>
      <c r="B21" s="303" t="s">
        <v>901</v>
      </c>
    </row>
    <row r="22" spans="1:10" x14ac:dyDescent="0.25">
      <c r="B22" s="296"/>
    </row>
    <row r="23" spans="1:10" x14ac:dyDescent="0.25">
      <c r="B23" s="296"/>
    </row>
    <row r="24" spans="1:10" x14ac:dyDescent="0.25">
      <c r="B24" s="9"/>
    </row>
    <row r="25" spans="1:10" x14ac:dyDescent="0.25">
      <c r="B25" s="9"/>
    </row>
    <row r="26" spans="1:10" x14ac:dyDescent="0.25">
      <c r="B26" s="9"/>
    </row>
    <row r="27" spans="1:10" x14ac:dyDescent="0.25">
      <c r="B27" s="9"/>
    </row>
    <row r="28" spans="1:10" x14ac:dyDescent="0.25">
      <c r="B28" s="9"/>
    </row>
  </sheetData>
  <mergeCells count="2">
    <mergeCell ref="A1:D1"/>
    <mergeCell ref="A2:D2"/>
  </mergeCells>
  <pageMargins left="0.70866141732283472" right="0.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802F3-CAF1-414B-986B-3ACC0176C017}">
  <ds:schemaRefs>
    <ds:schemaRef ds:uri="http://purl.org/dc/dcmitype/"/>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vt:lpstr>
      <vt:lpstr>T8-Soc_štipendiá</vt:lpstr>
      <vt:lpstr>T9_ŠD </vt:lpstr>
      <vt:lpstr>T10-ŠJ </vt:lpstr>
      <vt:lpstr>T11-Zdroje KV</vt:lpstr>
      <vt:lpstr>T12-KV</vt:lpstr>
      <vt:lpstr>T13-Fondy</vt:lpstr>
      <vt:lpstr>T16 - Štruktúra hotovosti</vt:lpstr>
      <vt:lpstr>T17-Dotácie zo ŠF EU</vt:lpstr>
      <vt:lpstr>T18-Ostatné dotacie z kap M</vt:lpstr>
      <vt:lpstr>T19-Štip_ z vlastných </vt:lpstr>
      <vt:lpstr>T20_motivačné štipendiá_nov</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M'!Oblasť_tlače</vt:lpstr>
      <vt:lpstr>'T19-Štip_ z vlastných '!Oblasť_tlače</vt:lpstr>
      <vt:lpstr>'T1-Dotácie podľa DZ'!Oblasť_tlače</vt:lpstr>
      <vt:lpstr>'T20_motivačné štipendiá_nov'!Oblasť_tlače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Danekova</cp:lastModifiedBy>
  <cp:lastPrinted>2017-05-04T12:28:25Z</cp:lastPrinted>
  <dcterms:created xsi:type="dcterms:W3CDTF">2002-06-05T18:53:25Z</dcterms:created>
  <dcterms:modified xsi:type="dcterms:W3CDTF">2017-06-06T07:42:12Z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