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final " sheetId="1" r:id="rId1"/>
    <sheet name="Hárok2" sheetId="2" r:id="rId2"/>
    <sheet name="Hárok3" sheetId="3" r:id="rId3"/>
  </sheets>
  <externalReferences>
    <externalReference r:id="rId4"/>
  </externalReferences>
  <definedNames>
    <definedName name="_xlnm.Print_Titles" localSheetId="0">'final '!$A:$B</definedName>
    <definedName name="_xlnm.Print_Area" localSheetId="0">'final '!$A$1:$BK$89</definedName>
  </definedNames>
  <calcPr calcId="145621"/>
</workbook>
</file>

<file path=xl/calcChain.xml><?xml version="1.0" encoding="utf-8"?>
<calcChain xmlns="http://schemas.openxmlformats.org/spreadsheetml/2006/main">
  <c r="AE44" i="1" l="1"/>
  <c r="AE46" i="1"/>
  <c r="AV69" i="1" l="1"/>
  <c r="AC8" i="1" l="1"/>
  <c r="AC44" i="1" s="1"/>
  <c r="AC46" i="1" s="1"/>
  <c r="Z90" i="1"/>
  <c r="Y90" i="1"/>
  <c r="V90" i="1"/>
  <c r="S82" i="1"/>
  <c r="S78" i="1"/>
  <c r="S53" i="1"/>
  <c r="S90" i="1" s="1"/>
  <c r="J90" i="1"/>
  <c r="E90" i="1"/>
  <c r="D90" i="1"/>
  <c r="AT30" i="1"/>
  <c r="AS28" i="1"/>
  <c r="AS30" i="1"/>
  <c r="AF46" i="1" l="1"/>
  <c r="AF44" i="1"/>
  <c r="AJ31" i="1"/>
  <c r="BK102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3" i="1"/>
  <c r="AV7" i="1"/>
  <c r="AB46" i="1"/>
  <c r="X46" i="1"/>
  <c r="P46" i="1"/>
  <c r="T44" i="1"/>
  <c r="AR44" i="1"/>
  <c r="AN44" i="1"/>
  <c r="AB44" i="1"/>
  <c r="X44" i="1"/>
  <c r="P44" i="1"/>
  <c r="L44" i="1"/>
  <c r="L46" i="1"/>
  <c r="G44" i="1"/>
  <c r="G90" i="1"/>
  <c r="G46" i="1"/>
  <c r="BC101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53" i="1"/>
  <c r="T88" i="1"/>
  <c r="J46" i="1"/>
  <c r="J44" i="1"/>
  <c r="AH80" i="1"/>
  <c r="AH88" i="1" s="1"/>
  <c r="AV88" i="1" l="1"/>
  <c r="T89" i="1"/>
  <c r="AV44" i="1"/>
  <c r="BC104" i="1" s="1"/>
  <c r="BC105" i="1"/>
  <c r="AV89" i="1" l="1"/>
  <c r="BC106" i="1"/>
  <c r="AJ88" i="1"/>
  <c r="AI53" i="1"/>
  <c r="AJ44" i="1"/>
  <c r="AV46" i="1" s="1"/>
  <c r="AI20" i="1"/>
  <c r="AJ89" i="1" l="1"/>
  <c r="Q88" i="1" l="1"/>
  <c r="Q44" i="1"/>
  <c r="R46" i="1" l="1"/>
  <c r="Q46" i="1"/>
  <c r="S47" i="1" s="1"/>
  <c r="N90" i="1"/>
  <c r="M90" i="1"/>
  <c r="N46" i="1"/>
  <c r="N47" i="1"/>
  <c r="M46" i="1"/>
  <c r="O47" i="1" s="1"/>
  <c r="O90" i="1" l="1"/>
  <c r="S46" i="1"/>
  <c r="AP90" i="1"/>
  <c r="AL90" i="1"/>
  <c r="AH90" i="1"/>
  <c r="AD90" i="1"/>
  <c r="R90" i="1"/>
  <c r="N88" i="1"/>
  <c r="AO90" i="1"/>
  <c r="AK90" i="1"/>
  <c r="AC90" i="1"/>
  <c r="U90" i="1"/>
  <c r="Q90" i="1"/>
  <c r="M88" i="1"/>
  <c r="P88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54" i="1"/>
  <c r="AS13" i="1"/>
  <c r="AS53" i="1"/>
  <c r="O87" i="1"/>
  <c r="O80" i="1"/>
  <c r="O79" i="1"/>
  <c r="O78" i="1"/>
  <c r="O72" i="1"/>
  <c r="O54" i="1"/>
  <c r="O53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3" i="1"/>
  <c r="O74" i="1"/>
  <c r="O75" i="1"/>
  <c r="O76" i="1"/>
  <c r="O77" i="1"/>
  <c r="O81" i="1"/>
  <c r="O82" i="1"/>
  <c r="O83" i="1"/>
  <c r="O84" i="1"/>
  <c r="O85" i="1"/>
  <c r="O86" i="1"/>
  <c r="L88" i="1"/>
  <c r="N44" i="1"/>
  <c r="M44" i="1"/>
  <c r="O36" i="1"/>
  <c r="O31" i="1"/>
  <c r="O30" i="1"/>
  <c r="O28" i="1"/>
  <c r="O17" i="1"/>
  <c r="O20" i="1"/>
  <c r="O16" i="1"/>
  <c r="O15" i="1"/>
  <c r="O14" i="1"/>
  <c r="O13" i="1"/>
  <c r="O12" i="1"/>
  <c r="O11" i="1"/>
  <c r="O10" i="1"/>
  <c r="O8" i="1"/>
  <c r="O7" i="1"/>
  <c r="O9" i="1"/>
  <c r="O19" i="1"/>
  <c r="O21" i="1"/>
  <c r="O22" i="1"/>
  <c r="O23" i="1"/>
  <c r="O24" i="1"/>
  <c r="O25" i="1"/>
  <c r="O26" i="1"/>
  <c r="O27" i="1"/>
  <c r="O29" i="1"/>
  <c r="O33" i="1"/>
  <c r="O34" i="1"/>
  <c r="O35" i="1"/>
  <c r="O37" i="1"/>
  <c r="O38" i="1"/>
  <c r="O40" i="1"/>
  <c r="O41" i="1"/>
  <c r="O42" i="1"/>
  <c r="O43" i="1"/>
  <c r="M45" i="1"/>
  <c r="N45" i="1"/>
  <c r="P45" i="1"/>
  <c r="P89" i="1" s="1"/>
  <c r="O88" i="1" l="1"/>
  <c r="O44" i="1"/>
  <c r="O45" i="1" s="1"/>
  <c r="AT90" i="1"/>
  <c r="O46" i="1"/>
  <c r="O91" i="1" s="1"/>
  <c r="N89" i="1"/>
  <c r="M89" i="1"/>
  <c r="U88" i="1"/>
  <c r="R88" i="1"/>
  <c r="S88" i="1" s="1"/>
  <c r="Q89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U74" i="1" s="1"/>
  <c r="AT75" i="1"/>
  <c r="AT76" i="1"/>
  <c r="AU76" i="1" s="1"/>
  <c r="AT77" i="1"/>
  <c r="AT78" i="1"/>
  <c r="AU78" i="1" s="1"/>
  <c r="AT79" i="1"/>
  <c r="AT80" i="1"/>
  <c r="AU80" i="1" s="1"/>
  <c r="AT81" i="1"/>
  <c r="AT82" i="1"/>
  <c r="AT83" i="1"/>
  <c r="AT84" i="1"/>
  <c r="AT85" i="1"/>
  <c r="AT86" i="1"/>
  <c r="AT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3" i="1"/>
  <c r="AU75" i="1"/>
  <c r="AU77" i="1"/>
  <c r="AU79" i="1"/>
  <c r="AU81" i="1"/>
  <c r="AU82" i="1"/>
  <c r="AU83" i="1"/>
  <c r="AU84" i="1"/>
  <c r="AU85" i="1"/>
  <c r="AU86" i="1"/>
  <c r="AU87" i="1"/>
  <c r="AU45" i="1"/>
  <c r="AT8" i="1"/>
  <c r="AT9" i="1"/>
  <c r="AT10" i="1"/>
  <c r="AT11" i="1"/>
  <c r="AT12" i="1"/>
  <c r="AT13" i="1"/>
  <c r="AU13" i="1" s="1"/>
  <c r="AT14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9" i="1"/>
  <c r="AT31" i="1"/>
  <c r="AT32" i="1"/>
  <c r="AT33" i="1"/>
  <c r="AT34" i="1"/>
  <c r="AT35" i="1"/>
  <c r="AT36" i="1"/>
  <c r="AT37" i="1"/>
  <c r="AT38" i="1"/>
  <c r="AT39" i="1"/>
  <c r="AT40" i="1"/>
  <c r="AT41" i="1"/>
  <c r="AT43" i="1"/>
  <c r="AT7" i="1"/>
  <c r="AS43" i="1"/>
  <c r="AU43" i="1" s="1"/>
  <c r="AS9" i="1"/>
  <c r="AS10" i="1"/>
  <c r="AS11" i="1"/>
  <c r="AS12" i="1"/>
  <c r="AU12" i="1" s="1"/>
  <c r="AS14" i="1"/>
  <c r="AU14" i="1" s="1"/>
  <c r="AS16" i="1"/>
  <c r="AS17" i="1"/>
  <c r="AU17" i="1" s="1"/>
  <c r="AS18" i="1"/>
  <c r="AS19" i="1"/>
  <c r="AS20" i="1"/>
  <c r="AS21" i="1"/>
  <c r="AU21" i="1" s="1"/>
  <c r="AS22" i="1"/>
  <c r="AS23" i="1"/>
  <c r="AU23" i="1" s="1"/>
  <c r="AS24" i="1"/>
  <c r="AS25" i="1"/>
  <c r="AU25" i="1" s="1"/>
  <c r="AS26" i="1"/>
  <c r="AS27" i="1"/>
  <c r="AU27" i="1" s="1"/>
  <c r="AS29" i="1"/>
  <c r="AS31" i="1"/>
  <c r="AU31" i="1" s="1"/>
  <c r="AS32" i="1"/>
  <c r="AS33" i="1"/>
  <c r="AU33" i="1" s="1"/>
  <c r="AS34" i="1"/>
  <c r="AS35" i="1"/>
  <c r="AU35" i="1" s="1"/>
  <c r="AS36" i="1"/>
  <c r="AS37" i="1"/>
  <c r="AU37" i="1" s="1"/>
  <c r="AS38" i="1"/>
  <c r="AS39" i="1"/>
  <c r="AU39" i="1" s="1"/>
  <c r="AS40" i="1"/>
  <c r="AS41" i="1"/>
  <c r="AU41" i="1" s="1"/>
  <c r="AU29" i="1" l="1"/>
  <c r="AU11" i="1"/>
  <c r="AU9" i="1"/>
  <c r="AT88" i="1"/>
  <c r="AU10" i="1"/>
  <c r="O89" i="1"/>
  <c r="AU19" i="1"/>
  <c r="AU40" i="1"/>
  <c r="AU38" i="1"/>
  <c r="AU36" i="1"/>
  <c r="AU34" i="1"/>
  <c r="AU32" i="1"/>
  <c r="AU30" i="1"/>
  <c r="AU26" i="1"/>
  <c r="AU24" i="1"/>
  <c r="AU22" i="1"/>
  <c r="AU20" i="1"/>
  <c r="AU18" i="1"/>
  <c r="AU16" i="1"/>
  <c r="AU53" i="1"/>
  <c r="AI87" i="1" l="1"/>
  <c r="AI80" i="1"/>
  <c r="AI78" i="1"/>
  <c r="AG72" i="1"/>
  <c r="AI67" i="1"/>
  <c r="AI54" i="1"/>
  <c r="AI41" i="1"/>
  <c r="AI36" i="1"/>
  <c r="AI31" i="1"/>
  <c r="AI30" i="1"/>
  <c r="AI21" i="1"/>
  <c r="AI19" i="1"/>
  <c r="AI18" i="1"/>
  <c r="AI17" i="1"/>
  <c r="AI16" i="1"/>
  <c r="AH15" i="1"/>
  <c r="AG15" i="1"/>
  <c r="AI14" i="1"/>
  <c r="AI13" i="1"/>
  <c r="AI12" i="1"/>
  <c r="AI11" i="1"/>
  <c r="AI10" i="1"/>
  <c r="AI9" i="1"/>
  <c r="AG8" i="1"/>
  <c r="AI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89" i="1" s="1"/>
  <c r="S45" i="1"/>
  <c r="S7" i="1"/>
  <c r="W7" i="1"/>
  <c r="AA7" i="1"/>
  <c r="AE7" i="1"/>
  <c r="AM7" i="1"/>
  <c r="AQ7" i="1"/>
  <c r="W8" i="1"/>
  <c r="AA8" i="1"/>
  <c r="AE8" i="1"/>
  <c r="AM8" i="1"/>
  <c r="AQ8" i="1"/>
  <c r="W9" i="1"/>
  <c r="AA9" i="1"/>
  <c r="AE9" i="1"/>
  <c r="AM9" i="1"/>
  <c r="W22" i="1"/>
  <c r="AA22" i="1"/>
  <c r="AM22" i="1"/>
  <c r="AQ22" i="1"/>
  <c r="W23" i="1"/>
  <c r="AA23" i="1"/>
  <c r="AE23" i="1"/>
  <c r="AM23" i="1"/>
  <c r="AQ23" i="1"/>
  <c r="W24" i="1"/>
  <c r="AA24" i="1"/>
  <c r="AE24" i="1"/>
  <c r="AM24" i="1"/>
  <c r="AQ24" i="1"/>
  <c r="W11" i="1"/>
  <c r="AA11" i="1"/>
  <c r="AE11" i="1"/>
  <c r="AM11" i="1"/>
  <c r="AQ11" i="1"/>
  <c r="W12" i="1"/>
  <c r="AA12" i="1"/>
  <c r="AE12" i="1"/>
  <c r="AM12" i="1"/>
  <c r="AQ12" i="1"/>
  <c r="W13" i="1"/>
  <c r="AA13" i="1"/>
  <c r="AE13" i="1"/>
  <c r="AM13" i="1"/>
  <c r="AQ13" i="1"/>
  <c r="W14" i="1"/>
  <c r="AA14" i="1"/>
  <c r="AE14" i="1"/>
  <c r="AM14" i="1"/>
  <c r="AQ14" i="1"/>
  <c r="W15" i="1"/>
  <c r="AA15" i="1"/>
  <c r="AE15" i="1"/>
  <c r="AL15" i="1"/>
  <c r="AQ15" i="1"/>
  <c r="W16" i="1"/>
  <c r="AA16" i="1"/>
  <c r="AE16" i="1"/>
  <c r="AM16" i="1"/>
  <c r="AQ16" i="1"/>
  <c r="W17" i="1"/>
  <c r="AA17" i="1"/>
  <c r="AE17" i="1"/>
  <c r="AM17" i="1"/>
  <c r="AQ17" i="1"/>
  <c r="W18" i="1"/>
  <c r="AA18" i="1"/>
  <c r="AE18" i="1"/>
  <c r="AM18" i="1"/>
  <c r="AQ18" i="1"/>
  <c r="W19" i="1"/>
  <c r="AA19" i="1"/>
  <c r="AM19" i="1"/>
  <c r="AQ19" i="1"/>
  <c r="W20" i="1"/>
  <c r="W21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U44" i="1"/>
  <c r="U89" i="1" s="1"/>
  <c r="V44" i="1"/>
  <c r="Y44" i="1"/>
  <c r="AM15" i="1" l="1"/>
  <c r="AT15" i="1"/>
  <c r="AI8" i="1"/>
  <c r="AS8" i="1"/>
  <c r="AU8" i="1" s="1"/>
  <c r="AI72" i="1"/>
  <c r="AI88" i="1" s="1"/>
  <c r="AG90" i="1"/>
  <c r="AI15" i="1"/>
  <c r="R89" i="1"/>
  <c r="S91" i="1" s="1"/>
  <c r="AG88" i="1"/>
  <c r="AH44" i="1"/>
  <c r="AH89" i="1" s="1"/>
  <c r="AI90" i="1" l="1"/>
  <c r="AG44" i="1"/>
  <c r="AG89" i="1" s="1"/>
  <c r="AI89" i="1" s="1"/>
  <c r="AR88" i="1"/>
  <c r="AP88" i="1"/>
  <c r="AO88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53" i="1"/>
  <c r="AO44" i="1"/>
  <c r="AO89" i="1" s="1"/>
  <c r="AR89" i="1"/>
  <c r="AP44" i="1"/>
  <c r="AP45" i="1"/>
  <c r="AO45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1" i="1"/>
  <c r="AQ20" i="1"/>
  <c r="AQ10" i="1"/>
  <c r="AQ45" i="1"/>
  <c r="AN88" i="1"/>
  <c r="AL88" i="1"/>
  <c r="AK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K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1" i="1"/>
  <c r="AM20" i="1"/>
  <c r="AM10" i="1"/>
  <c r="AF88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D88" i="1"/>
  <c r="AC88" i="1"/>
  <c r="AC89" i="1" s="1"/>
  <c r="AE53" i="1"/>
  <c r="AD44" i="1"/>
  <c r="AD89" i="1" s="1"/>
  <c r="AE90" i="1" l="1"/>
  <c r="AM44" i="1"/>
  <c r="AQ43" i="1"/>
  <c r="AP89" i="1"/>
  <c r="AF89" i="1"/>
  <c r="AK89" i="1"/>
  <c r="AN89" i="1"/>
  <c r="AK45" i="1"/>
  <c r="AI44" i="1"/>
  <c r="AI91" i="1" s="1"/>
  <c r="AQ44" i="1"/>
  <c r="AQ89" i="1" s="1"/>
  <c r="AE88" i="1"/>
  <c r="AM88" i="1"/>
  <c r="AM89" i="1" s="1"/>
  <c r="AL44" i="1"/>
  <c r="AM45" i="1"/>
  <c r="AF42" i="1"/>
  <c r="AV42" i="1" s="1"/>
  <c r="AD42" i="1"/>
  <c r="AT42" i="1" s="1"/>
  <c r="AC42" i="1"/>
  <c r="AS42" i="1" s="1"/>
  <c r="AE38" i="1"/>
  <c r="AE37" i="1"/>
  <c r="AE36" i="1"/>
  <c r="AE35" i="1"/>
  <c r="AE34" i="1"/>
  <c r="AE33" i="1"/>
  <c r="AE32" i="1"/>
  <c r="AE31" i="1"/>
  <c r="AE29" i="1"/>
  <c r="AE30" i="1"/>
  <c r="AE27" i="1"/>
  <c r="AE26" i="1"/>
  <c r="AE25" i="1"/>
  <c r="AE21" i="1"/>
  <c r="AE20" i="1"/>
  <c r="AE10" i="1"/>
  <c r="AB88" i="1"/>
  <c r="Z88" i="1"/>
  <c r="Y88" i="1"/>
  <c r="Y89" i="1" s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Z44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1" i="1"/>
  <c r="AA20" i="1"/>
  <c r="AA10" i="1"/>
  <c r="X88" i="1"/>
  <c r="V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90" i="1" s="1"/>
  <c r="W53" i="1"/>
  <c r="W10" i="1"/>
  <c r="W44" i="1" s="1"/>
  <c r="AA90" i="1" l="1"/>
  <c r="AU42" i="1"/>
  <c r="AL89" i="1"/>
  <c r="V89" i="1"/>
  <c r="W91" i="1" s="1"/>
  <c r="Z89" i="1"/>
  <c r="X89" i="1"/>
  <c r="AB89" i="1"/>
  <c r="AL45" i="1"/>
  <c r="AE42" i="1"/>
  <c r="W88" i="1"/>
  <c r="W89" i="1" s="1"/>
  <c r="AA44" i="1"/>
  <c r="AA88" i="1"/>
  <c r="J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I72" i="1"/>
  <c r="I90" i="1" s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7" i="1"/>
  <c r="AA91" i="1" l="1"/>
  <c r="AE89" i="1"/>
  <c r="AE91" i="1"/>
  <c r="I44" i="1"/>
  <c r="I46" i="1"/>
  <c r="K47" i="1" s="1"/>
  <c r="AS7" i="1"/>
  <c r="AU7" i="1" s="1"/>
  <c r="I88" i="1"/>
  <c r="I89" i="1" s="1"/>
  <c r="AS72" i="1"/>
  <c r="AS90" i="1"/>
  <c r="AU90" i="1" s="1"/>
  <c r="L89" i="1"/>
  <c r="J89" i="1"/>
  <c r="AA89" i="1"/>
  <c r="K72" i="1"/>
  <c r="K88" i="1" s="1"/>
  <c r="K7" i="1"/>
  <c r="K44" i="1" s="1"/>
  <c r="K90" i="1" l="1"/>
  <c r="AU72" i="1"/>
  <c r="AS88" i="1"/>
  <c r="AU88" i="1" s="1"/>
  <c r="AV90" i="1" s="1"/>
  <c r="K46" i="1"/>
  <c r="K89" i="1"/>
  <c r="H91" i="1"/>
  <c r="H90" i="1"/>
  <c r="G88" i="1"/>
  <c r="E88" i="1"/>
  <c r="AT91" i="1" s="1"/>
  <c r="AT92" i="1" s="1"/>
  <c r="D88" i="1"/>
  <c r="H87" i="1"/>
  <c r="F87" i="1"/>
  <c r="H86" i="1"/>
  <c r="F86" i="1"/>
  <c r="H85" i="1"/>
  <c r="F85" i="1"/>
  <c r="H84" i="1"/>
  <c r="F84" i="1"/>
  <c r="H83" i="1"/>
  <c r="F83" i="1"/>
  <c r="H82" i="1"/>
  <c r="F82" i="1"/>
  <c r="H81" i="1"/>
  <c r="F81" i="1"/>
  <c r="H80" i="1"/>
  <c r="F80" i="1"/>
  <c r="H79" i="1"/>
  <c r="F79" i="1"/>
  <c r="H78" i="1"/>
  <c r="F78" i="1"/>
  <c r="H77" i="1"/>
  <c r="F77" i="1"/>
  <c r="H76" i="1"/>
  <c r="F76" i="1"/>
  <c r="H75" i="1"/>
  <c r="F75" i="1"/>
  <c r="H74" i="1"/>
  <c r="F74" i="1"/>
  <c r="H73" i="1"/>
  <c r="F73" i="1"/>
  <c r="H72" i="1"/>
  <c r="F72" i="1"/>
  <c r="H71" i="1"/>
  <c r="F71" i="1"/>
  <c r="H70" i="1"/>
  <c r="F70" i="1"/>
  <c r="H69" i="1"/>
  <c r="F69" i="1"/>
  <c r="H68" i="1"/>
  <c r="F68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F88" i="1" s="1"/>
  <c r="H52" i="1"/>
  <c r="H51" i="1"/>
  <c r="H50" i="1"/>
  <c r="G45" i="1"/>
  <c r="H45" i="1" s="1"/>
  <c r="E44" i="1"/>
  <c r="AT48" i="1" s="1"/>
  <c r="H43" i="1"/>
  <c r="H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AT28" i="1" s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D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F47" i="1" s="1"/>
  <c r="AT47" i="1" l="1"/>
  <c r="AU28" i="1"/>
  <c r="F90" i="1"/>
  <c r="F103" i="1"/>
  <c r="AS91" i="1"/>
  <c r="AU91" i="1" s="1"/>
  <c r="AU94" i="1" s="1"/>
  <c r="F99" i="1"/>
  <c r="K91" i="1"/>
  <c r="D44" i="1"/>
  <c r="F46" i="1" s="1"/>
  <c r="AS15" i="1"/>
  <c r="AU15" i="1" s="1"/>
  <c r="AS44" i="1"/>
  <c r="AS46" i="1"/>
  <c r="E45" i="1"/>
  <c r="AT44" i="1"/>
  <c r="AT89" i="1" s="1"/>
  <c r="AT46" i="1"/>
  <c r="E89" i="1"/>
  <c r="E93" i="1" s="1"/>
  <c r="D89" i="1"/>
  <c r="H88" i="1"/>
  <c r="D45" i="1"/>
  <c r="F44" i="1"/>
  <c r="G89" i="1"/>
  <c r="H44" i="1"/>
  <c r="F91" i="1" l="1"/>
  <c r="AU47" i="1"/>
  <c r="AU46" i="1"/>
  <c r="AS89" i="1"/>
  <c r="AU89" i="1" s="1"/>
  <c r="AU44" i="1"/>
  <c r="F45" i="1"/>
  <c r="H89" i="1"/>
  <c r="H92" i="1"/>
  <c r="F89" i="1"/>
  <c r="AU92" i="1" l="1"/>
  <c r="AV47" i="1"/>
  <c r="G93" i="1"/>
  <c r="F93" i="1"/>
  <c r="D93" i="1" l="1"/>
</calcChain>
</file>

<file path=xl/comments1.xml><?xml version="1.0" encoding="utf-8"?>
<comments xmlns="http://schemas.openxmlformats.org/spreadsheetml/2006/main">
  <authors>
    <author>UZ_SDaJ_STU</author>
  </authors>
  <commentList>
    <comment ref="AM20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údaj od pani kvestorky</t>
        </r>
      </text>
    </comment>
    <comment ref="AK30" author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zúčtovania koeficientu, nevieme aký bude</t>
        </r>
      </text>
    </comment>
  </commentList>
</comments>
</file>

<file path=xl/sharedStrings.xml><?xml version="1.0" encoding="utf-8"?>
<sst xmlns="http://schemas.openxmlformats.org/spreadsheetml/2006/main" count="270" uniqueCount="154">
  <si>
    <t>Súčasť:</t>
  </si>
  <si>
    <t>STAVEBNÁ  FAKULTA</t>
  </si>
  <si>
    <t>Návrh rozpočtu 2014</t>
  </si>
  <si>
    <t>2013</t>
  </si>
  <si>
    <t>roz proti</t>
  </si>
  <si>
    <t>Číslo účtu</t>
  </si>
  <si>
    <t>Náklady</t>
  </si>
  <si>
    <t>Číslo riadku</t>
  </si>
  <si>
    <t>Činnosť</t>
  </si>
  <si>
    <t>Bezprostredne predchádzajúce účtovné obdobie</t>
  </si>
  <si>
    <t>výkazu</t>
  </si>
  <si>
    <t>Hlavná nezdaňovaná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</si>
  <si>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</si>
  <si>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</si>
  <si>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</si>
  <si>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</si>
  <si>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</si>
  <si>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</si>
  <si>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</si>
  <si>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</si>
  <si>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</si>
  <si>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</si>
  <si>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</si>
  <si>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</si>
  <si>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</si>
  <si>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</si>
  <si>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</si>
  <si>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</si>
  <si>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</si>
  <si>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</si>
  <si>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</si>
  <si>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</si>
  <si>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</si>
  <si>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</si>
  <si>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</si>
  <si>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</si>
  <si>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</si>
  <si>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</si>
  <si>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</si>
  <si>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</si>
  <si>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</si>
  <si>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</si>
  <si>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</si>
  <si>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</si>
  <si>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</si>
  <si>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</si>
  <si>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Tvorba a zúčtovanie zákonných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</si>
  <si>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</si>
  <si>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</si>
  <si>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</si>
  <si>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</si>
  <si>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</si>
  <si>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</si>
  <si>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</si>
  <si>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</si>
  <si>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</si>
  <si>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</si>
  <si>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</si>
  <si>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</si>
  <si>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</si>
  <si>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</si>
  <si>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</si>
  <si>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</si>
  <si>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</si>
  <si>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</si>
  <si>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</si>
  <si>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</si>
  <si>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</si>
  <si>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</si>
  <si>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</si>
  <si>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</si>
  <si>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Iné ostatné výnosy - mimodotačné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</si>
  <si>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</si>
  <si>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</si>
  <si>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</si>
  <si>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</si>
  <si>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</si>
  <si>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</si>
  <si>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</si>
  <si>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</si>
  <si>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</si>
  <si>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</si>
  <si>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</si>
  <si>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</si>
  <si>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</si>
  <si>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</si>
  <si>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</si>
  <si>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</si>
  <si>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</si>
  <si>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</si>
  <si>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2014</t>
  </si>
  <si>
    <t>Činnosť  nezdaňovaná</t>
  </si>
  <si>
    <t xml:space="preserve"> zdaňovaná</t>
  </si>
  <si>
    <t>STROJNÍCKA  FAKULTA</t>
  </si>
  <si>
    <t>FEI</t>
  </si>
  <si>
    <t>FCHPT</t>
  </si>
  <si>
    <t>Podnikateľská zdaňovaná</t>
  </si>
  <si>
    <t>FAKULTA ARCHITEKTÚRY</t>
  </si>
  <si>
    <t>MTF</t>
  </si>
  <si>
    <t>FIIT</t>
  </si>
  <si>
    <t>UZ ŠD a J</t>
  </si>
  <si>
    <t>UZ Gabčíkovo</t>
  </si>
  <si>
    <t>R+CFS</t>
  </si>
  <si>
    <t xml:space="preserve">STU SPOLU </t>
  </si>
  <si>
    <t>Rozpočet 2013</t>
  </si>
  <si>
    <t xml:space="preserve"> 148000 bežná údržba</t>
  </si>
  <si>
    <t>332852 TS Trnávka</t>
  </si>
  <si>
    <t>390 000 účelová dotácia oprava bloku F na Vazovoej</t>
  </si>
  <si>
    <t>15 000 prenájmy priestorov</t>
  </si>
  <si>
    <t>400 Regata prenájom lodí</t>
  </si>
  <si>
    <t>147 prenájmy rohoží</t>
  </si>
  <si>
    <t>40 000 vložné na konferencie</t>
  </si>
  <si>
    <t>5000 školenie zamestnancov</t>
  </si>
  <si>
    <t>34 000 telefony</t>
  </si>
  <si>
    <t>10 000 poštovné</t>
  </si>
  <si>
    <t>10 000 OLO</t>
  </si>
  <si>
    <t>5000 - revízie zariadení</t>
  </si>
  <si>
    <t>45 000 dopravné služby - letenky</t>
  </si>
  <si>
    <t>20000 inzeráty, pamätné tabule, športové podujatia</t>
  </si>
  <si>
    <t xml:space="preserve">50 000 licencie za SW - v zmysle zákona do 1 roka </t>
  </si>
  <si>
    <t>50 000 honoráte a autorské odmeny</t>
  </si>
  <si>
    <t>130000 - štúdie projekty ŠF,  notárske poplatky, právne služby</t>
  </si>
  <si>
    <t>100 000 spektrum časopis, publikácie, ŠL, obaly na diplomy, ostatná tlač</t>
  </si>
  <si>
    <t>10 000 vodné, stočné</t>
  </si>
  <si>
    <t>300 000 ostatné - výroba krojov, refundácie slušieb SjF - UTI, projekty .....</t>
  </si>
  <si>
    <t>50 000 poplatky spojené so štúdiom</t>
  </si>
  <si>
    <t>70 000 použitie zostatku z minulých rokov z projektov</t>
  </si>
  <si>
    <t>124 000 ostatné</t>
  </si>
  <si>
    <t>172 188  - nájomné zmluvy</t>
  </si>
  <si>
    <t>105 000 CAŠ</t>
  </si>
  <si>
    <t xml:space="preserve">Bezprostredne predchádzajúce obdobie </t>
  </si>
  <si>
    <t>584 145 skutočný HV</t>
  </si>
  <si>
    <t>v porovnaní nie sú položky, ktoré sme skutočne dosiahli, ale ktoré sa nerozpočtujú</t>
  </si>
  <si>
    <t>cekový HV 2013</t>
  </si>
  <si>
    <t>223281 daň</t>
  </si>
  <si>
    <t>zmena stavu zásob výrobkov  14039,42</t>
  </si>
  <si>
    <t>aktivácia DHM 2019,36</t>
  </si>
  <si>
    <t>zmluvné pokuty 24145,29</t>
  </si>
  <si>
    <t>ostatné pokuty 11181,43</t>
  </si>
  <si>
    <t>kurzové zisky 301,43</t>
  </si>
  <si>
    <t>tržby z predaja DHM 129634,53</t>
  </si>
  <si>
    <t>príspevky z podielu zaplatenej dane 1832,99</t>
  </si>
  <si>
    <t>ok</t>
  </si>
  <si>
    <t>suma výnosov</t>
  </si>
  <si>
    <t xml:space="preserve">zmluvné pokuty a penále </t>
  </si>
  <si>
    <t>ostatné pokuty</t>
  </si>
  <si>
    <t>odpis pohľadávky</t>
  </si>
  <si>
    <t>úroky</t>
  </si>
  <si>
    <t>kurzové straty</t>
  </si>
  <si>
    <t>manká a škody</t>
  </si>
  <si>
    <t>zostatková cena predaného DHM</t>
  </si>
  <si>
    <t>tvorba a zúčtovanie opravných položiek</t>
  </si>
  <si>
    <t>suma nákladov</t>
  </si>
  <si>
    <t xml:space="preserve">kontrola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</si>
</sst>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_K_č"/>
    <numFmt numFmtId="165" formatCode="000"/>
    <numFmt numFmtId="166" formatCode="0.0%"/>
    <numFmt numFmtId="167" formatCode="0.0000"/>
  </numFmts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8"/>
      <color indexed="10"/>
      <name val="Arial"/>
      <family val="2"/>
      <charset val="238"/>
    </font>
    <font>
      <sz val="10"/>
      <color indexed="12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indexed="10"/>
      <name val="Arial Narrow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48"/>
      <name val="Arial Narrow"/>
      <family val="2"/>
      <charset val="238"/>
    </font>
    <font>
      <b/>
      <sz val="9"/>
      <name val="Arial Narrow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3" tint="0.39997558519241921"/>
      <name val="Calibri"/>
      <family val="2"/>
      <charset val="238"/>
      <scheme val="minor"/>
    </font>
    <font>
      <sz val="8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1" fillId="0" borderId="0"/>
    <xf numFmtId="49" fontId="34" fillId="0" borderId="1">
      <alignment horizontal="center" vertical="center" wrapText="1"/>
    </xf>
    <xf numFmtId="0" fontId="38" fillId="0" borderId="1">
      <alignment horizontal="left" vertical="center" wrapText="1"/>
    </xf>
  </cellStyleXfs>
  <cellXfs count="27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5" fillId="0" borderId="6" xfId="0" applyNumberFormat="1" applyFont="1" applyBorder="1" applyAlignment="1" applyProtection="1">
      <alignment horizontal="center" vertical="center"/>
    </xf>
    <xf numFmtId="3" fontId="5" fillId="0" borderId="1" xfId="0" applyNumberFormat="1" applyFont="1" applyBorder="1"/>
    <xf numFmtId="3" fontId="12" fillId="0" borderId="1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0" fontId="13" fillId="0" borderId="0" xfId="0" applyFont="1"/>
    <xf numFmtId="3" fontId="5" fillId="0" borderId="1" xfId="0" applyNumberFormat="1" applyFont="1" applyFill="1" applyBorder="1"/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3" fontId="5" fillId="3" borderId="1" xfId="0" applyNumberFormat="1" applyFont="1" applyFill="1" applyBorder="1"/>
    <xf numFmtId="0" fontId="11" fillId="0" borderId="1" xfId="0" applyFont="1" applyBorder="1" applyAlignment="1">
      <alignment vertical="center" wrapText="1"/>
    </xf>
    <xf numFmtId="3" fontId="0" fillId="0" borderId="1" xfId="0" applyNumberFormat="1" applyBorder="1"/>
    <xf numFmtId="3" fontId="14" fillId="0" borderId="1" xfId="0" applyNumberFormat="1" applyFont="1" applyBorder="1"/>
    <xf numFmtId="165" fontId="5" fillId="2" borderId="1" xfId="0" applyNumberFormat="1" applyFont="1" applyFill="1" applyBorder="1" applyAlignment="1" applyProtection="1">
      <alignment horizontal="center" vertical="center"/>
    </xf>
    <xf numFmtId="3" fontId="13" fillId="2" borderId="1" xfId="0" applyNumberFormat="1" applyFont="1" applyFill="1" applyBorder="1"/>
    <xf numFmtId="165" fontId="13" fillId="0" borderId="1" xfId="0" applyNumberFormat="1" applyFont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6" fontId="18" fillId="0" borderId="7" xfId="1" applyNumberFormat="1" applyFont="1" applyBorder="1"/>
    <xf numFmtId="0" fontId="18" fillId="0" borderId="0" xfId="0" applyFont="1"/>
    <xf numFmtId="3" fontId="18" fillId="0" borderId="0" xfId="0" applyNumberFormat="1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165" fontId="19" fillId="0" borderId="0" xfId="0" applyNumberFormat="1" applyFont="1" applyBorder="1" applyAlignment="1" applyProtection="1">
      <alignment horizontal="center" vertical="center"/>
    </xf>
    <xf numFmtId="3" fontId="20" fillId="0" borderId="0" xfId="0" applyNumberFormat="1" applyFont="1" applyBorder="1"/>
    <xf numFmtId="3" fontId="21" fillId="0" borderId="0" xfId="0" applyNumberFormat="1" applyFont="1" applyBorder="1"/>
    <xf numFmtId="3" fontId="20" fillId="0" borderId="0" xfId="0" applyNumberFormat="1" applyFont="1"/>
    <xf numFmtId="0" fontId="19" fillId="0" borderId="0" xfId="0" applyFont="1"/>
    <xf numFmtId="4" fontId="20" fillId="0" borderId="8" xfId="0" applyNumberFormat="1" applyFont="1" applyBorder="1"/>
    <xf numFmtId="164" fontId="22" fillId="0" borderId="0" xfId="0" applyNumberFormat="1" applyFont="1"/>
    <xf numFmtId="0" fontId="23" fillId="0" borderId="0" xfId="0" applyFont="1" applyAlignment="1">
      <alignment horizontal="right"/>
    </xf>
    <xf numFmtId="3" fontId="4" fillId="0" borderId="7" xfId="1" applyNumberFormat="1" applyFont="1" applyBorder="1"/>
    <xf numFmtId="164" fontId="23" fillId="0" borderId="0" xfId="0" applyNumberFormat="1" applyFont="1"/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3" fontId="13" fillId="4" borderId="1" xfId="0" applyNumberFormat="1" applyFont="1" applyFill="1" applyBorder="1"/>
    <xf numFmtId="3" fontId="16" fillId="0" borderId="1" xfId="0" applyNumberFormat="1" applyFont="1" applyBorder="1"/>
    <xf numFmtId="0" fontId="15" fillId="0" borderId="0" xfId="0" applyFont="1" applyBorder="1" applyAlignment="1">
      <alignment horizontal="left"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/>
    <xf numFmtId="0" fontId="24" fillId="0" borderId="0" xfId="0" applyFont="1" applyAlignment="1">
      <alignment horizontal="left"/>
    </xf>
    <xf numFmtId="167" fontId="19" fillId="0" borderId="0" xfId="0" applyNumberFormat="1" applyFont="1"/>
    <xf numFmtId="3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8" fillId="0" borderId="0" xfId="0" applyNumberFormat="1" applyFont="1"/>
    <xf numFmtId="0" fontId="2" fillId="0" borderId="0" xfId="0" applyFont="1" applyAlignment="1">
      <alignment horizontal="left"/>
    </xf>
    <xf numFmtId="0" fontId="12" fillId="0" borderId="0" xfId="0" applyFont="1"/>
    <xf numFmtId="0" fontId="29" fillId="0" borderId="0" xfId="0" applyFont="1"/>
    <xf numFmtId="3" fontId="12" fillId="0" borderId="0" xfId="0" applyNumberFormat="1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164" fontId="29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3" fontId="0" fillId="0" borderId="1" xfId="0" applyNumberFormat="1" applyFill="1" applyBorder="1"/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3" fontId="0" fillId="0" borderId="2" xfId="0" applyNumberFormat="1" applyBorder="1"/>
    <xf numFmtId="3" fontId="5" fillId="0" borderId="11" xfId="0" applyNumberFormat="1" applyFont="1" applyBorder="1"/>
    <xf numFmtId="3" fontId="14" fillId="0" borderId="11" xfId="0" applyNumberFormat="1" applyFont="1" applyBorder="1"/>
    <xf numFmtId="3" fontId="13" fillId="2" borderId="2" xfId="0" applyNumberFormat="1" applyFont="1" applyFill="1" applyBorder="1"/>
    <xf numFmtId="3" fontId="13" fillId="2" borderId="17" xfId="0" applyNumberFormat="1" applyFont="1" applyFill="1" applyBorder="1"/>
    <xf numFmtId="3" fontId="13" fillId="2" borderId="11" xfId="0" applyNumberFormat="1" applyFont="1" applyFill="1" applyBorder="1"/>
    <xf numFmtId="3" fontId="5" fillId="5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/>
    <xf numFmtId="3" fontId="13" fillId="0" borderId="16" xfId="0" applyNumberFormat="1" applyFont="1" applyFill="1" applyBorder="1"/>
    <xf numFmtId="3" fontId="0" fillId="5" borderId="1" xfId="0" applyNumberFormat="1" applyFill="1" applyBorder="1"/>
    <xf numFmtId="49" fontId="15" fillId="0" borderId="1" xfId="3" applyFont="1" applyFill="1" applyBorder="1">
      <alignment horizontal="center" vertical="center" wrapText="1"/>
    </xf>
    <xf numFmtId="49" fontId="15" fillId="0" borderId="2" xfId="3" applyFont="1" applyFill="1" applyBorder="1">
      <alignment horizontal="center" vertical="center" wrapText="1"/>
    </xf>
    <xf numFmtId="0" fontId="15" fillId="0" borderId="18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3" fontId="34" fillId="0" borderId="1" xfId="3" applyNumberFormat="1" applyFill="1" applyBorder="1" applyAlignment="1">
      <alignment horizontal="right" vertical="center" wrapText="1"/>
    </xf>
    <xf numFmtId="3" fontId="34" fillId="0" borderId="2" xfId="3" applyNumberFormat="1" applyFill="1" applyBorder="1" applyAlignment="1">
      <alignment horizontal="right" vertical="center" wrapText="1"/>
    </xf>
    <xf numFmtId="3" fontId="34" fillId="0" borderId="1" xfId="3" applyNumberFormat="1" applyFont="1" applyFill="1" applyBorder="1" applyAlignment="1">
      <alignment horizontal="right" vertical="center" wrapText="1"/>
    </xf>
    <xf numFmtId="3" fontId="34" fillId="0" borderId="4" xfId="3" applyNumberFormat="1" applyFill="1" applyBorder="1" applyAlignment="1">
      <alignment horizontal="right" vertical="center" wrapText="1"/>
    </xf>
    <xf numFmtId="3" fontId="34" fillId="0" borderId="12" xfId="3" applyNumberFormat="1" applyFill="1" applyBorder="1" applyAlignment="1">
      <alignment horizontal="right" vertical="center" wrapText="1"/>
    </xf>
    <xf numFmtId="3" fontId="32" fillId="0" borderId="6" xfId="3" applyNumberFormat="1" applyFont="1" applyFill="1" applyBorder="1" applyAlignment="1">
      <alignment horizontal="right" vertical="center" wrapText="1"/>
    </xf>
    <xf numFmtId="3" fontId="34" fillId="0" borderId="7" xfId="3" applyNumberFormat="1" applyFill="1" applyBorder="1" applyAlignment="1">
      <alignment horizontal="right" vertical="center" wrapText="1"/>
    </xf>
    <xf numFmtId="3" fontId="34" fillId="0" borderId="15" xfId="3" applyNumberFormat="1" applyFill="1" applyBorder="1" applyAlignment="1">
      <alignment horizontal="right" vertical="center" wrapText="1"/>
    </xf>
    <xf numFmtId="3" fontId="34" fillId="0" borderId="15" xfId="3" applyNumberFormat="1" applyFont="1" applyFill="1" applyBorder="1" applyAlignment="1">
      <alignment horizontal="right" vertical="center" wrapText="1"/>
    </xf>
    <xf numFmtId="3" fontId="34" fillId="0" borderId="16" xfId="3" applyNumberFormat="1" applyFill="1" applyBorder="1" applyAlignment="1">
      <alignment horizontal="right" vertical="center" wrapText="1"/>
    </xf>
    <xf numFmtId="3" fontId="34" fillId="0" borderId="0" xfId="3" applyNumberFormat="1" applyFill="1" applyBorder="1" applyAlignment="1">
      <alignment horizontal="right" vertical="center" wrapText="1"/>
    </xf>
    <xf numFmtId="49" fontId="15" fillId="0" borderId="0" xfId="3" applyFont="1" applyFill="1" applyBorder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/>
    <xf numFmtId="3" fontId="35" fillId="0" borderId="0" xfId="3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3" fontId="35" fillId="5" borderId="1" xfId="3" applyNumberFormat="1" applyFont="1" applyFill="1" applyBorder="1" applyAlignment="1">
      <alignment horizontal="right" vertical="center" wrapText="1"/>
    </xf>
    <xf numFmtId="3" fontId="38" fillId="0" borderId="1" xfId="3" applyNumberFormat="1" applyFont="1" applyAlignment="1">
      <alignment horizontal="right" vertical="center" wrapText="1"/>
    </xf>
    <xf numFmtId="3" fontId="38" fillId="0" borderId="4" xfId="3" applyNumberFormat="1" applyFont="1" applyBorder="1" applyAlignment="1">
      <alignment horizontal="right" vertical="center" wrapText="1"/>
    </xf>
    <xf numFmtId="3" fontId="32" fillId="0" borderId="6" xfId="3" applyNumberFormat="1" applyFont="1" applyBorder="1" applyAlignment="1">
      <alignment horizontal="right" vertical="center" wrapText="1"/>
    </xf>
    <xf numFmtId="3" fontId="38" fillId="5" borderId="1" xfId="3" applyNumberFormat="1" applyFont="1" applyFill="1" applyBorder="1" applyAlignment="1">
      <alignment horizontal="right" vertical="center" wrapText="1"/>
    </xf>
    <xf numFmtId="3" fontId="16" fillId="5" borderId="1" xfId="0" applyNumberFormat="1" applyFont="1" applyFill="1" applyBorder="1"/>
    <xf numFmtId="4" fontId="0" fillId="5" borderId="1" xfId="0" applyNumberFormat="1" applyFill="1" applyBorder="1"/>
    <xf numFmtId="3" fontId="0" fillId="5" borderId="1" xfId="0" applyNumberFormat="1" applyFill="1" applyBorder="1" applyAlignment="1">
      <alignment horizontal="right"/>
    </xf>
    <xf numFmtId="3" fontId="12" fillId="0" borderId="4" xfId="0" applyNumberFormat="1" applyFont="1" applyBorder="1"/>
    <xf numFmtId="4" fontId="0" fillId="0" borderId="4" xfId="0" applyNumberFormat="1" applyBorder="1"/>
    <xf numFmtId="3" fontId="0" fillId="0" borderId="4" xfId="0" applyNumberFormat="1" applyBorder="1"/>
    <xf numFmtId="3" fontId="4" fillId="5" borderId="1" xfId="0" applyNumberFormat="1" applyFont="1" applyFill="1" applyBorder="1"/>
    <xf numFmtId="4" fontId="0" fillId="0" borderId="20" xfId="0" applyNumberFormat="1" applyFont="1" applyBorder="1"/>
    <xf numFmtId="4" fontId="0" fillId="6" borderId="20" xfId="0" applyNumberFormat="1" applyFont="1" applyFill="1" applyBorder="1"/>
    <xf numFmtId="4" fontId="39" fillId="7" borderId="21" xfId="0" applyNumberFormat="1" applyFont="1" applyFill="1" applyBorder="1" applyAlignment="1" applyProtection="1">
      <alignment horizontal="right" vertical="center" wrapText="1"/>
    </xf>
    <xf numFmtId="3" fontId="34" fillId="0" borderId="1" xfId="3" applyNumberFormat="1" applyAlignment="1">
      <alignment horizontal="right" vertical="center" wrapText="1"/>
    </xf>
    <xf numFmtId="3" fontId="32" fillId="0" borderId="1" xfId="3" applyNumberFormat="1" applyFont="1" applyAlignment="1">
      <alignment horizontal="right" vertical="center" wrapText="1"/>
    </xf>
    <xf numFmtId="4" fontId="34" fillId="0" borderId="1" xfId="3" applyNumberFormat="1" applyAlignment="1">
      <alignment horizontal="right" vertical="center" wrapText="1"/>
    </xf>
    <xf numFmtId="4" fontId="32" fillId="0" borderId="1" xfId="3" applyNumberFormat="1" applyFont="1" applyAlignment="1">
      <alignment horizontal="right" vertical="center" wrapText="1"/>
    </xf>
    <xf numFmtId="4" fontId="1" fillId="0" borderId="20" xfId="0" applyNumberFormat="1" applyFont="1" applyBorder="1"/>
    <xf numFmtId="4" fontId="1" fillId="0" borderId="22" xfId="0" applyNumberFormat="1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" xfId="0" applyNumberFormat="1" applyFont="1" applyBorder="1"/>
    <xf numFmtId="49" fontId="8" fillId="0" borderId="1" xfId="0" applyNumberFormat="1" applyFont="1" applyBorder="1" applyAlignment="1">
      <alignment horizontal="center" vertical="center"/>
    </xf>
    <xf numFmtId="3" fontId="42" fillId="0" borderId="26" xfId="0" applyNumberFormat="1" applyFont="1" applyBorder="1"/>
    <xf numFmtId="3" fontId="42" fillId="0" borderId="27" xfId="0" applyNumberFormat="1" applyFont="1" applyBorder="1"/>
    <xf numFmtId="4" fontId="18" fillId="0" borderId="0" xfId="0" applyNumberFormat="1" applyFont="1"/>
    <xf numFmtId="4" fontId="5" fillId="0" borderId="0" xfId="0" applyNumberFormat="1" applyFont="1"/>
    <xf numFmtId="4" fontId="34" fillId="0" borderId="2" xfId="3" applyNumberFormat="1" applyBorder="1" applyAlignment="1">
      <alignment horizontal="right" vertical="center" wrapText="1"/>
    </xf>
    <xf numFmtId="3" fontId="38" fillId="0" borderId="1" xfId="3" applyNumberFormat="1" applyFont="1" applyFill="1" applyAlignment="1">
      <alignment horizontal="right" vertical="center" wrapText="1"/>
    </xf>
    <xf numFmtId="165" fontId="5" fillId="8" borderId="1" xfId="0" applyNumberFormat="1" applyFont="1" applyFill="1" applyBorder="1" applyAlignment="1" applyProtection="1">
      <alignment horizontal="center" vertical="center"/>
    </xf>
    <xf numFmtId="3" fontId="5" fillId="8" borderId="1" xfId="0" applyNumberFormat="1" applyFont="1" applyFill="1" applyBorder="1"/>
    <xf numFmtId="3" fontId="12" fillId="8" borderId="6" xfId="0" applyNumberFormat="1" applyFont="1" applyFill="1" applyBorder="1"/>
    <xf numFmtId="3" fontId="4" fillId="8" borderId="0" xfId="0" applyNumberFormat="1" applyFont="1" applyFill="1"/>
    <xf numFmtId="4" fontId="0" fillId="8" borderId="6" xfId="0" applyNumberFormat="1" applyFill="1" applyBorder="1"/>
    <xf numFmtId="3" fontId="32" fillId="8" borderId="1" xfId="3" applyNumberFormat="1" applyFont="1" applyFill="1" applyAlignment="1">
      <alignment horizontal="right" vertical="center" wrapText="1"/>
    </xf>
    <xf numFmtId="4" fontId="32" fillId="8" borderId="1" xfId="3" applyNumberFormat="1" applyFont="1" applyFill="1" applyAlignment="1">
      <alignment horizontal="right" vertical="center" wrapText="1"/>
    </xf>
    <xf numFmtId="4" fontId="0" fillId="8" borderId="1" xfId="0" applyNumberFormat="1" applyFill="1" applyBorder="1"/>
    <xf numFmtId="3" fontId="0" fillId="8" borderId="1" xfId="0" applyNumberFormat="1" applyFill="1" applyBorder="1"/>
    <xf numFmtId="3" fontId="12" fillId="8" borderId="1" xfId="0" applyNumberFormat="1" applyFont="1" applyFill="1" applyBorder="1"/>
    <xf numFmtId="0" fontId="45" fillId="0" borderId="1" xfId="0" applyFont="1" applyBorder="1" applyAlignment="1">
      <alignment horizontal="center" vertical="center"/>
    </xf>
    <xf numFmtId="3" fontId="44" fillId="0" borderId="1" xfId="0" applyNumberFormat="1" applyFont="1" applyBorder="1"/>
    <xf numFmtId="4" fontId="46" fillId="0" borderId="1" xfId="3" applyNumberFormat="1" applyFont="1" applyAlignment="1">
      <alignment horizontal="right" vertical="center" wrapText="1"/>
    </xf>
    <xf numFmtId="4" fontId="19" fillId="0" borderId="0" xfId="0" applyNumberFormat="1" applyFont="1"/>
    <xf numFmtId="3" fontId="19" fillId="0" borderId="0" xfId="0" applyNumberFormat="1" applyFont="1"/>
    <xf numFmtId="4" fontId="5" fillId="5" borderId="1" xfId="0" applyNumberFormat="1" applyFont="1" applyFill="1" applyBorder="1"/>
    <xf numFmtId="3" fontId="32" fillId="5" borderId="1" xfId="3" applyNumberFormat="1" applyFont="1" applyFill="1" applyAlignment="1">
      <alignment horizontal="right" vertical="center" wrapText="1"/>
    </xf>
    <xf numFmtId="4" fontId="32" fillId="5" borderId="1" xfId="3" applyNumberFormat="1" applyFont="1" applyFill="1" applyAlignment="1">
      <alignment horizontal="right" vertical="center" wrapText="1"/>
    </xf>
    <xf numFmtId="3" fontId="38" fillId="0" borderId="6" xfId="3" applyNumberFormat="1" applyFont="1" applyBorder="1" applyAlignment="1">
      <alignment horizontal="right" vertical="center" wrapText="1"/>
    </xf>
    <xf numFmtId="0" fontId="18" fillId="5" borderId="1" xfId="0" applyFont="1" applyFill="1" applyBorder="1"/>
    <xf numFmtId="3" fontId="44" fillId="5" borderId="1" xfId="0" applyNumberFormat="1" applyFont="1" applyFill="1" applyBorder="1"/>
    <xf numFmtId="3" fontId="34" fillId="5" borderId="1" xfId="3" applyNumberFormat="1" applyFill="1" applyAlignment="1">
      <alignment horizontal="right" vertical="center" wrapText="1"/>
    </xf>
    <xf numFmtId="4" fontId="47" fillId="5" borderId="0" xfId="0" applyNumberFormat="1" applyFont="1" applyFill="1"/>
    <xf numFmtId="4" fontId="40" fillId="5" borderId="21" xfId="0" applyNumberFormat="1" applyFont="1" applyFill="1" applyBorder="1" applyAlignment="1" applyProtection="1">
      <alignment horizontal="right" vertical="center" wrapText="1"/>
    </xf>
    <xf numFmtId="3" fontId="16" fillId="5" borderId="4" xfId="0" applyNumberFormat="1" applyFont="1" applyFill="1" applyBorder="1"/>
    <xf numFmtId="3" fontId="13" fillId="2" borderId="4" xfId="0" applyNumberFormat="1" applyFont="1" applyFill="1" applyBorder="1"/>
    <xf numFmtId="3" fontId="0" fillId="5" borderId="4" xfId="0" applyNumberFormat="1" applyFill="1" applyBorder="1"/>
    <xf numFmtId="3" fontId="0" fillId="5" borderId="12" xfId="0" applyNumberFormat="1" applyFill="1" applyBorder="1"/>
    <xf numFmtId="3" fontId="35" fillId="5" borderId="4" xfId="3" applyNumberFormat="1" applyFont="1" applyFill="1" applyBorder="1" applyAlignment="1">
      <alignment horizontal="right" vertical="center" wrapText="1"/>
    </xf>
    <xf numFmtId="3" fontId="35" fillId="5" borderId="12" xfId="3" applyNumberFormat="1" applyFont="1" applyFill="1" applyBorder="1" applyAlignment="1">
      <alignment horizontal="right" vertical="center" wrapText="1"/>
    </xf>
    <xf numFmtId="3" fontId="35" fillId="5" borderId="16" xfId="3" applyNumberFormat="1" applyFont="1" applyFill="1" applyBorder="1" applyAlignment="1">
      <alignment horizontal="right" vertical="center" wrapText="1"/>
    </xf>
    <xf numFmtId="3" fontId="34" fillId="5" borderId="12" xfId="3" applyNumberFormat="1" applyFill="1" applyBorder="1" applyAlignment="1">
      <alignment horizontal="right" vertical="center" wrapText="1"/>
    </xf>
    <xf numFmtId="3" fontId="34" fillId="5" borderId="4" xfId="3" applyNumberFormat="1" applyFill="1" applyBorder="1" applyAlignment="1">
      <alignment horizontal="right" vertical="center" wrapText="1"/>
    </xf>
    <xf numFmtId="3" fontId="43" fillId="5" borderId="28" xfId="0" applyNumberFormat="1" applyFont="1" applyFill="1" applyBorder="1"/>
    <xf numFmtId="3" fontId="35" fillId="0" borderId="6" xfId="3" applyNumberFormat="1" applyFont="1" applyFill="1" applyBorder="1" applyAlignment="1">
      <alignment horizontal="right" vertical="center" wrapText="1"/>
    </xf>
    <xf numFmtId="3" fontId="35" fillId="0" borderId="9" xfId="3" applyNumberFormat="1" applyFont="1" applyFill="1" applyBorder="1" applyAlignment="1">
      <alignment horizontal="right" vertical="center" wrapText="1"/>
    </xf>
    <xf numFmtId="3" fontId="35" fillId="0" borderId="29" xfId="3" applyNumberFormat="1" applyFont="1" applyFill="1" applyBorder="1" applyAlignment="1">
      <alignment horizontal="right" vertical="center" wrapText="1"/>
    </xf>
    <xf numFmtId="3" fontId="42" fillId="8" borderId="1" xfId="0" applyNumberFormat="1" applyFont="1" applyFill="1" applyBorder="1"/>
    <xf numFmtId="0" fontId="33" fillId="0" borderId="2" xfId="2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 wrapText="1"/>
    </xf>
    <xf numFmtId="2" fontId="5" fillId="9" borderId="0" xfId="0" applyNumberFormat="1" applyFont="1" applyFill="1"/>
    <xf numFmtId="0" fontId="5" fillId="9" borderId="0" xfId="0" applyFont="1" applyFill="1"/>
    <xf numFmtId="0" fontId="27" fillId="9" borderId="0" xfId="0" applyFont="1" applyFill="1"/>
    <xf numFmtId="0" fontId="5" fillId="9" borderId="0" xfId="0" applyFont="1" applyFill="1" applyAlignment="1">
      <alignment wrapText="1"/>
    </xf>
    <xf numFmtId="0" fontId="27" fillId="9" borderId="0" xfId="0" applyFont="1" applyFill="1" applyAlignment="1">
      <alignment wrapText="1"/>
    </xf>
    <xf numFmtId="0" fontId="5" fillId="10" borderId="0" xfId="0" applyFont="1" applyFill="1"/>
    <xf numFmtId="4" fontId="1" fillId="0" borderId="1" xfId="0" applyNumberFormat="1" applyFont="1" applyFill="1" applyBorder="1"/>
    <xf numFmtId="0" fontId="15" fillId="0" borderId="0" xfId="2" applyFont="1" applyFill="1" applyBorder="1" applyAlignment="1">
      <alignment horizontal="center" vertical="center" wrapText="1"/>
    </xf>
    <xf numFmtId="3" fontId="38" fillId="0" borderId="0" xfId="3" applyNumberFormat="1" applyFont="1" applyBorder="1" applyAlignment="1">
      <alignment horizontal="right" vertical="center" wrapText="1"/>
    </xf>
    <xf numFmtId="3" fontId="34" fillId="5" borderId="19" xfId="3" applyNumberFormat="1" applyFill="1" applyBorder="1" applyAlignment="1">
      <alignment horizontal="right" vertical="center" wrapText="1"/>
    </xf>
    <xf numFmtId="4" fontId="5" fillId="0" borderId="1" xfId="0" applyNumberFormat="1" applyFont="1" applyBorder="1"/>
    <xf numFmtId="3" fontId="0" fillId="0" borderId="0" xfId="0" applyNumberFormat="1" applyBorder="1"/>
    <xf numFmtId="3" fontId="14" fillId="0" borderId="0" xfId="0" applyNumberFormat="1" applyFont="1" applyBorder="1"/>
    <xf numFmtId="3" fontId="27" fillId="0" borderId="0" xfId="0" applyNumberFormat="1" applyFont="1"/>
    <xf numFmtId="3" fontId="13" fillId="0" borderId="0" xfId="0" applyNumberFormat="1" applyFont="1"/>
    <xf numFmtId="49" fontId="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/>
    <xf numFmtId="4" fontId="0" fillId="5" borderId="11" xfId="0" applyNumberFormat="1" applyFill="1" applyBorder="1"/>
    <xf numFmtId="49" fontId="8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Border="1"/>
    <xf numFmtId="4" fontId="0" fillId="8" borderId="30" xfId="0" applyNumberFormat="1" applyFill="1" applyBorder="1"/>
    <xf numFmtId="4" fontId="0" fillId="11" borderId="1" xfId="0" applyNumberFormat="1" applyFill="1" applyBorder="1"/>
    <xf numFmtId="3" fontId="34" fillId="0" borderId="11" xfId="3" applyNumberFormat="1" applyBorder="1" applyAlignment="1">
      <alignment horizontal="right" vertical="center" wrapText="1"/>
    </xf>
    <xf numFmtId="3" fontId="38" fillId="0" borderId="11" xfId="3" applyNumberFormat="1" applyFont="1" applyBorder="1" applyAlignment="1">
      <alignment horizontal="right" vertical="center" wrapText="1"/>
    </xf>
    <xf numFmtId="0" fontId="41" fillId="0" borderId="11" xfId="4" applyFont="1" applyBorder="1">
      <alignment horizontal="left" vertical="center" wrapText="1"/>
    </xf>
    <xf numFmtId="3" fontId="34" fillId="5" borderId="11" xfId="3" applyNumberFormat="1" applyFill="1" applyBorder="1" applyAlignment="1">
      <alignment horizontal="right" vertical="center" wrapText="1"/>
    </xf>
    <xf numFmtId="3" fontId="32" fillId="5" borderId="11" xfId="3" applyNumberFormat="1" applyFont="1" applyFill="1" applyBorder="1" applyAlignment="1">
      <alignment horizontal="right" vertical="center" wrapText="1"/>
    </xf>
    <xf numFmtId="3" fontId="32" fillId="8" borderId="11" xfId="3" applyNumberFormat="1" applyFont="1" applyFill="1" applyBorder="1" applyAlignment="1">
      <alignment horizontal="right" vertical="center" wrapText="1"/>
    </xf>
    <xf numFmtId="0" fontId="5" fillId="0" borderId="0" xfId="0" applyFont="1" applyFill="1"/>
    <xf numFmtId="49" fontId="30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/>
    <xf numFmtId="4" fontId="48" fillId="0" borderId="1" xfId="0" applyNumberFormat="1" applyFont="1" applyFill="1" applyBorder="1"/>
    <xf numFmtId="49" fontId="8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3" fontId="1" fillId="0" borderId="1" xfId="0" applyNumberFormat="1" applyFont="1" applyFill="1" applyBorder="1"/>
    <xf numFmtId="4" fontId="39" fillId="0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/>
    <xf numFmtId="0" fontId="5" fillId="5" borderId="1" xfId="0" applyFont="1" applyFill="1" applyBorder="1"/>
    <xf numFmtId="4" fontId="40" fillId="5" borderId="1" xfId="0" applyNumberFormat="1" applyFont="1" applyFill="1" applyBorder="1" applyAlignment="1" applyProtection="1">
      <alignment horizontal="right" vertical="center" wrapText="1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32" fillId="0" borderId="1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2" xfId="2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5" fillId="2" borderId="1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1" fillId="0" borderId="0" xfId="2" applyFill="1" applyBorder="1" applyAlignment="1">
      <alignment horizontal="center" vertical="center" wrapText="1"/>
    </xf>
  </cellXfs>
  <cellStyles count="5">
    <cellStyle name="Normálna" xfId="0" builtinId="0"/>
    <cellStyle name="normálne_Výkaz ziskov a strát STU 2007 280308" xfId="2"/>
    <cellStyle name="Percentá" xfId="1" builtinId="5"/>
    <cellStyle name="položka" xfId="3"/>
    <cellStyle name="položka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stuba.sk/Documents%20and%20Settings/zidekova/My%20Documents/HZnov&#233;/Hosp.%20v&#253;sledok,%20%20Rozpo&#269;et,%20V&#253;ro&#269;ne%20spr&#225;vy/2009/VS%20%20a%20%20HV%20%20%202009/N&#225;klady%20a%20v&#253;nosy%202009%20%20HZ%20%20z%2030.3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klady Výnosy 2008 €"/>
      <sheetName val="Náklady Výnosy 2009 30.3.10"/>
      <sheetName val="Hárok1"/>
      <sheetName val="Hárok2"/>
      <sheetName val="Hárok3"/>
    </sheetNames>
    <sheetDataSet>
      <sheetData sheetId="0" refreshError="1">
        <row r="5">
          <cell r="F5">
            <v>5186948.1510987189</v>
          </cell>
        </row>
        <row r="6">
          <cell r="F6">
            <v>6885613.7555599809</v>
          </cell>
        </row>
        <row r="7">
          <cell r="F7">
            <v>214432.71592644227</v>
          </cell>
        </row>
        <row r="8">
          <cell r="F8">
            <v>2731162.4510389697</v>
          </cell>
        </row>
        <row r="9">
          <cell r="F9">
            <v>1698698.7983801367</v>
          </cell>
        </row>
        <row r="10">
          <cell r="F10">
            <v>86934.873531169083</v>
          </cell>
        </row>
        <row r="11">
          <cell r="F11">
            <v>7183197.2382659493</v>
          </cell>
        </row>
        <row r="12">
          <cell r="F12">
            <v>35215793.66660028</v>
          </cell>
        </row>
        <row r="13">
          <cell r="F13">
            <v>10270364.469229236</v>
          </cell>
        </row>
        <row r="14">
          <cell r="F14">
            <v>290413.5962291708</v>
          </cell>
        </row>
        <row r="15">
          <cell r="F15">
            <v>1008165.7040430193</v>
          </cell>
        </row>
        <row r="16">
          <cell r="F16">
            <v>53541.791143862443</v>
          </cell>
        </row>
        <row r="17">
          <cell r="F17">
            <v>5244.6391821018387</v>
          </cell>
        </row>
        <row r="18">
          <cell r="F18">
            <v>189238.53150102901</v>
          </cell>
        </row>
        <row r="19">
          <cell r="F19">
            <v>39733.12089225254</v>
          </cell>
        </row>
        <row r="20">
          <cell r="F20">
            <v>132.77567549624908</v>
          </cell>
        </row>
        <row r="21">
          <cell r="F21">
            <v>2887.8709420434175</v>
          </cell>
        </row>
        <row r="22">
          <cell r="F22">
            <v>124410.80793998539</v>
          </cell>
        </row>
        <row r="23">
          <cell r="F23">
            <v>0</v>
          </cell>
        </row>
        <row r="24">
          <cell r="F24">
            <v>193420.96527916085</v>
          </cell>
        </row>
        <row r="25">
          <cell r="F25">
            <v>165.96959437031134</v>
          </cell>
        </row>
        <row r="26">
          <cell r="F26">
            <v>697.07229635530769</v>
          </cell>
        </row>
        <row r="27">
          <cell r="F27">
            <v>8630.4189072561894</v>
          </cell>
        </row>
        <row r="28">
          <cell r="F28">
            <v>4171247.4274712871</v>
          </cell>
        </row>
        <row r="29">
          <cell r="F29">
            <v>4492199.4290645951</v>
          </cell>
        </row>
        <row r="30">
          <cell r="F30">
            <v>549160.19385248621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3248190.9314213633</v>
          </cell>
        </row>
        <row r="35">
          <cell r="F35">
            <v>0</v>
          </cell>
        </row>
        <row r="36">
          <cell r="F36">
            <v>-107614.68498970989</v>
          </cell>
        </row>
        <row r="37">
          <cell r="F37">
            <v>47732.855340901544</v>
          </cell>
        </row>
        <row r="38">
          <cell r="F38">
            <v>531.10270198499632</v>
          </cell>
        </row>
        <row r="39">
          <cell r="F39">
            <v>60811.259377282076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83852087.897497192</v>
          </cell>
        </row>
        <row r="43">
          <cell r="F43">
            <v>167704175.79499438</v>
          </cell>
        </row>
        <row r="47">
          <cell r="F47" t="str">
            <v>Spolu</v>
          </cell>
        </row>
        <row r="48">
          <cell r="F48">
            <v>9</v>
          </cell>
        </row>
        <row r="49">
          <cell r="F49">
            <v>266845.91382858658</v>
          </cell>
        </row>
        <row r="50">
          <cell r="F50">
            <v>10748688.840204474</v>
          </cell>
        </row>
        <row r="51">
          <cell r="F51">
            <v>276472.15030206466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30870.344552877912</v>
          </cell>
        </row>
        <row r="60">
          <cell r="F60">
            <v>14240.191196972713</v>
          </cell>
        </row>
        <row r="61">
          <cell r="F61">
            <v>22771.028347606716</v>
          </cell>
        </row>
        <row r="62">
          <cell r="F62">
            <v>0</v>
          </cell>
        </row>
        <row r="63">
          <cell r="F63">
            <v>1887173.8697470622</v>
          </cell>
        </row>
        <row r="64">
          <cell r="F64">
            <v>69209.320852419827</v>
          </cell>
        </row>
        <row r="65">
          <cell r="F65">
            <v>3485.3614817765383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5712175.529443006</v>
          </cell>
        </row>
        <row r="69">
          <cell r="F69">
            <v>326130.25293766183</v>
          </cell>
        </row>
        <row r="70">
          <cell r="F70">
            <v>2456.349996680608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842528.04886144854</v>
          </cell>
        </row>
        <row r="75">
          <cell r="F75">
            <v>0</v>
          </cell>
        </row>
        <row r="76">
          <cell r="F76">
            <v>1416450.9061939851</v>
          </cell>
        </row>
        <row r="77">
          <cell r="F77">
            <v>0</v>
          </cell>
        </row>
        <row r="78">
          <cell r="F78">
            <v>96594.303923521205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65732656.177388303</v>
          </cell>
        </row>
        <row r="84">
          <cell r="F84">
            <v>87448748.589258447</v>
          </cell>
        </row>
        <row r="86">
          <cell r="F86">
            <v>3596660.6917612553</v>
          </cell>
        </row>
        <row r="87">
          <cell r="F87">
            <v>516065.85673504614</v>
          </cell>
        </row>
        <row r="88">
          <cell r="F88">
            <v>0</v>
          </cell>
        </row>
        <row r="89">
          <cell r="F89">
            <v>3080594.8350262092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K133"/>
  <sheetViews>
    <sheetView tabSelected="1" view="pageBreakPreview" zoomScale="73" zoomScaleNormal="100" zoomScaleSheetLayoutView="73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Q92" sqref="Q92"/>
    </sheetView>
  </sheetViews>
  <sheetFormatPr defaultColWidth="6.7109375" defaultRowHeight="12.75" x14ac:dyDescent="0.2"/>
  <cols>
    <col min="1" max="1" width="8" style="1" customWidth="1"/>
    <col min="2" max="2" width="29.42578125" style="2" customWidth="1"/>
    <col min="3" max="3" width="7" style="1" hidden="1" customWidth="1"/>
    <col min="4" max="4" width="13" style="68" customWidth="1"/>
    <col min="5" max="5" width="11.7109375" style="68" customWidth="1"/>
    <col min="6" max="6" width="12.140625" style="68" customWidth="1"/>
    <col min="7" max="7" width="12.28515625" style="46" customWidth="1"/>
    <col min="8" max="8" width="8.42578125" style="3" hidden="1" customWidth="1"/>
    <col min="9" max="9" width="14.140625" style="4" customWidth="1"/>
    <col min="10" max="10" width="11.28515625" style="4" customWidth="1"/>
    <col min="11" max="11" width="13.7109375" style="4" customWidth="1"/>
    <col min="12" max="12" width="18.85546875" style="4" customWidth="1"/>
    <col min="13" max="13" width="14.140625" style="4" customWidth="1"/>
    <col min="14" max="14" width="11.28515625" style="4" customWidth="1"/>
    <col min="15" max="15" width="12.140625" style="4" customWidth="1"/>
    <col min="16" max="16" width="18.85546875" style="4" customWidth="1"/>
    <col min="17" max="17" width="14.140625" style="4" customWidth="1"/>
    <col min="18" max="18" width="18.5703125" style="4" customWidth="1"/>
    <col min="19" max="19" width="19" style="4" customWidth="1"/>
    <col min="20" max="20" width="18.85546875" style="4" customWidth="1"/>
    <col min="21" max="21" width="17" style="4" customWidth="1"/>
    <col min="22" max="22" width="10.7109375" style="4" customWidth="1"/>
    <col min="23" max="23" width="14" style="4" customWidth="1"/>
    <col min="24" max="24" width="13.140625" style="4" customWidth="1"/>
    <col min="25" max="25" width="11.85546875" style="4" customWidth="1"/>
    <col min="26" max="26" width="9.85546875" style="4" customWidth="1"/>
    <col min="27" max="27" width="14" style="4" customWidth="1"/>
    <col min="28" max="28" width="14.140625" style="4" customWidth="1"/>
    <col min="29" max="29" width="16.85546875" style="4" customWidth="1"/>
    <col min="30" max="30" width="10" style="4" customWidth="1"/>
    <col min="31" max="31" width="13.42578125" style="4" customWidth="1"/>
    <col min="32" max="32" width="14" style="4" customWidth="1"/>
    <col min="33" max="33" width="16.85546875" style="4" customWidth="1"/>
    <col min="34" max="34" width="12.85546875" style="4" customWidth="1"/>
    <col min="35" max="36" width="14" style="4" customWidth="1"/>
    <col min="37" max="37" width="11.42578125" style="4" customWidth="1"/>
    <col min="38" max="38" width="13.85546875" style="4" customWidth="1"/>
    <col min="39" max="39" width="12.28515625" style="4" customWidth="1"/>
    <col min="40" max="40" width="13.28515625" style="4" customWidth="1"/>
    <col min="41" max="41" width="12.7109375" style="4" customWidth="1"/>
    <col min="42" max="42" width="11.7109375" style="4" customWidth="1"/>
    <col min="43" max="43" width="10.140625" style="4" customWidth="1"/>
    <col min="44" max="44" width="13.42578125" style="4" customWidth="1"/>
    <col min="45" max="48" width="24.140625" style="4" customWidth="1"/>
    <col min="49" max="49" width="0.140625" style="4" customWidth="1"/>
    <col min="50" max="50" width="12.85546875" style="4" customWidth="1"/>
    <col min="51" max="51" width="9.7109375" style="4" bestFit="1" customWidth="1"/>
    <col min="52" max="53" width="6.7109375" style="4"/>
    <col min="54" max="54" width="11.85546875" style="4" bestFit="1" customWidth="1"/>
    <col min="55" max="55" width="10.140625" style="4" bestFit="1" customWidth="1"/>
    <col min="56" max="61" width="6.7109375" style="4"/>
    <col min="62" max="62" width="14.42578125" style="4" customWidth="1"/>
    <col min="63" max="247" width="6.7109375" style="4"/>
    <col min="248" max="248" width="8" style="4" customWidth="1"/>
    <col min="249" max="249" width="29.42578125" style="4" customWidth="1"/>
    <col min="250" max="250" width="0" style="4" hidden="1" customWidth="1"/>
    <col min="251" max="251" width="13" style="4" customWidth="1"/>
    <col min="252" max="252" width="11.7109375" style="4" customWidth="1"/>
    <col min="253" max="253" width="12.140625" style="4" customWidth="1"/>
    <col min="254" max="254" width="12.42578125" style="4" customWidth="1"/>
    <col min="255" max="255" width="0" style="4" hidden="1" customWidth="1"/>
    <col min="256" max="256" width="11.28515625" style="4" customWidth="1"/>
    <col min="257" max="503" width="6.7109375" style="4"/>
    <col min="504" max="504" width="8" style="4" customWidth="1"/>
    <col min="505" max="505" width="29.42578125" style="4" customWidth="1"/>
    <col min="506" max="506" width="0" style="4" hidden="1" customWidth="1"/>
    <col min="507" max="507" width="13" style="4" customWidth="1"/>
    <col min="508" max="508" width="11.7109375" style="4" customWidth="1"/>
    <col min="509" max="509" width="12.140625" style="4" customWidth="1"/>
    <col min="510" max="510" width="12.42578125" style="4" customWidth="1"/>
    <col min="511" max="511" width="0" style="4" hidden="1" customWidth="1"/>
    <col min="512" max="512" width="11.28515625" style="4" customWidth="1"/>
    <col min="513" max="759" width="6.7109375" style="4"/>
    <col min="760" max="760" width="8" style="4" customWidth="1"/>
    <col min="761" max="761" width="29.42578125" style="4" customWidth="1"/>
    <col min="762" max="762" width="0" style="4" hidden="1" customWidth="1"/>
    <col min="763" max="763" width="13" style="4" customWidth="1"/>
    <col min="764" max="764" width="11.7109375" style="4" customWidth="1"/>
    <col min="765" max="765" width="12.140625" style="4" customWidth="1"/>
    <col min="766" max="766" width="12.42578125" style="4" customWidth="1"/>
    <col min="767" max="767" width="0" style="4" hidden="1" customWidth="1"/>
    <col min="768" max="768" width="11.28515625" style="4" customWidth="1"/>
    <col min="769" max="1015" width="6.7109375" style="4"/>
    <col min="1016" max="1016" width="8" style="4" customWidth="1"/>
    <col min="1017" max="1017" width="29.42578125" style="4" customWidth="1"/>
    <col min="1018" max="1018" width="0" style="4" hidden="1" customWidth="1"/>
    <col min="1019" max="1019" width="13" style="4" customWidth="1"/>
    <col min="1020" max="1020" width="11.7109375" style="4" customWidth="1"/>
    <col min="1021" max="1021" width="12.140625" style="4" customWidth="1"/>
    <col min="1022" max="1022" width="12.42578125" style="4" customWidth="1"/>
    <col min="1023" max="1023" width="0" style="4" hidden="1" customWidth="1"/>
    <col min="1024" max="1024" width="11.28515625" style="4" customWidth="1"/>
    <col min="1025" max="1271" width="6.7109375" style="4"/>
    <col min="1272" max="1272" width="8" style="4" customWidth="1"/>
    <col min="1273" max="1273" width="29.42578125" style="4" customWidth="1"/>
    <col min="1274" max="1274" width="0" style="4" hidden="1" customWidth="1"/>
    <col min="1275" max="1275" width="13" style="4" customWidth="1"/>
    <col min="1276" max="1276" width="11.7109375" style="4" customWidth="1"/>
    <col min="1277" max="1277" width="12.140625" style="4" customWidth="1"/>
    <col min="1278" max="1278" width="12.42578125" style="4" customWidth="1"/>
    <col min="1279" max="1279" width="0" style="4" hidden="1" customWidth="1"/>
    <col min="1280" max="1280" width="11.28515625" style="4" customWidth="1"/>
    <col min="1281" max="1527" width="6.7109375" style="4"/>
    <col min="1528" max="1528" width="8" style="4" customWidth="1"/>
    <col min="1529" max="1529" width="29.42578125" style="4" customWidth="1"/>
    <col min="1530" max="1530" width="0" style="4" hidden="1" customWidth="1"/>
    <col min="1531" max="1531" width="13" style="4" customWidth="1"/>
    <col min="1532" max="1532" width="11.7109375" style="4" customWidth="1"/>
    <col min="1533" max="1533" width="12.140625" style="4" customWidth="1"/>
    <col min="1534" max="1534" width="12.42578125" style="4" customWidth="1"/>
    <col min="1535" max="1535" width="0" style="4" hidden="1" customWidth="1"/>
    <col min="1536" max="1536" width="11.28515625" style="4" customWidth="1"/>
    <col min="1537" max="1783" width="6.7109375" style="4"/>
    <col min="1784" max="1784" width="8" style="4" customWidth="1"/>
    <col min="1785" max="1785" width="29.42578125" style="4" customWidth="1"/>
    <col min="1786" max="1786" width="0" style="4" hidden="1" customWidth="1"/>
    <col min="1787" max="1787" width="13" style="4" customWidth="1"/>
    <col min="1788" max="1788" width="11.7109375" style="4" customWidth="1"/>
    <col min="1789" max="1789" width="12.140625" style="4" customWidth="1"/>
    <col min="1790" max="1790" width="12.42578125" style="4" customWidth="1"/>
    <col min="1791" max="1791" width="0" style="4" hidden="1" customWidth="1"/>
    <col min="1792" max="1792" width="11.28515625" style="4" customWidth="1"/>
    <col min="1793" max="2039" width="6.7109375" style="4"/>
    <col min="2040" max="2040" width="8" style="4" customWidth="1"/>
    <col min="2041" max="2041" width="29.42578125" style="4" customWidth="1"/>
    <col min="2042" max="2042" width="0" style="4" hidden="1" customWidth="1"/>
    <col min="2043" max="2043" width="13" style="4" customWidth="1"/>
    <col min="2044" max="2044" width="11.7109375" style="4" customWidth="1"/>
    <col min="2045" max="2045" width="12.140625" style="4" customWidth="1"/>
    <col min="2046" max="2046" width="12.42578125" style="4" customWidth="1"/>
    <col min="2047" max="2047" width="0" style="4" hidden="1" customWidth="1"/>
    <col min="2048" max="2048" width="11.28515625" style="4" customWidth="1"/>
    <col min="2049" max="2295" width="6.7109375" style="4"/>
    <col min="2296" max="2296" width="8" style="4" customWidth="1"/>
    <col min="2297" max="2297" width="29.42578125" style="4" customWidth="1"/>
    <col min="2298" max="2298" width="0" style="4" hidden="1" customWidth="1"/>
    <col min="2299" max="2299" width="13" style="4" customWidth="1"/>
    <col min="2300" max="2300" width="11.7109375" style="4" customWidth="1"/>
    <col min="2301" max="2301" width="12.140625" style="4" customWidth="1"/>
    <col min="2302" max="2302" width="12.42578125" style="4" customWidth="1"/>
    <col min="2303" max="2303" width="0" style="4" hidden="1" customWidth="1"/>
    <col min="2304" max="2304" width="11.28515625" style="4" customWidth="1"/>
    <col min="2305" max="2551" width="6.7109375" style="4"/>
    <col min="2552" max="2552" width="8" style="4" customWidth="1"/>
    <col min="2553" max="2553" width="29.42578125" style="4" customWidth="1"/>
    <col min="2554" max="2554" width="0" style="4" hidden="1" customWidth="1"/>
    <col min="2555" max="2555" width="13" style="4" customWidth="1"/>
    <col min="2556" max="2556" width="11.7109375" style="4" customWidth="1"/>
    <col min="2557" max="2557" width="12.140625" style="4" customWidth="1"/>
    <col min="2558" max="2558" width="12.42578125" style="4" customWidth="1"/>
    <col min="2559" max="2559" width="0" style="4" hidden="1" customWidth="1"/>
    <col min="2560" max="2560" width="11.28515625" style="4" customWidth="1"/>
    <col min="2561" max="2807" width="6.7109375" style="4"/>
    <col min="2808" max="2808" width="8" style="4" customWidth="1"/>
    <col min="2809" max="2809" width="29.42578125" style="4" customWidth="1"/>
    <col min="2810" max="2810" width="0" style="4" hidden="1" customWidth="1"/>
    <col min="2811" max="2811" width="13" style="4" customWidth="1"/>
    <col min="2812" max="2812" width="11.7109375" style="4" customWidth="1"/>
    <col min="2813" max="2813" width="12.140625" style="4" customWidth="1"/>
    <col min="2814" max="2814" width="12.42578125" style="4" customWidth="1"/>
    <col min="2815" max="2815" width="0" style="4" hidden="1" customWidth="1"/>
    <col min="2816" max="2816" width="11.28515625" style="4" customWidth="1"/>
    <col min="2817" max="3063" width="6.7109375" style="4"/>
    <col min="3064" max="3064" width="8" style="4" customWidth="1"/>
    <col min="3065" max="3065" width="29.42578125" style="4" customWidth="1"/>
    <col min="3066" max="3066" width="0" style="4" hidden="1" customWidth="1"/>
    <col min="3067" max="3067" width="13" style="4" customWidth="1"/>
    <col min="3068" max="3068" width="11.7109375" style="4" customWidth="1"/>
    <col min="3069" max="3069" width="12.140625" style="4" customWidth="1"/>
    <col min="3070" max="3070" width="12.42578125" style="4" customWidth="1"/>
    <col min="3071" max="3071" width="0" style="4" hidden="1" customWidth="1"/>
    <col min="3072" max="3072" width="11.28515625" style="4" customWidth="1"/>
    <col min="3073" max="3319" width="6.7109375" style="4"/>
    <col min="3320" max="3320" width="8" style="4" customWidth="1"/>
    <col min="3321" max="3321" width="29.42578125" style="4" customWidth="1"/>
    <col min="3322" max="3322" width="0" style="4" hidden="1" customWidth="1"/>
    <col min="3323" max="3323" width="13" style="4" customWidth="1"/>
    <col min="3324" max="3324" width="11.7109375" style="4" customWidth="1"/>
    <col min="3325" max="3325" width="12.140625" style="4" customWidth="1"/>
    <col min="3326" max="3326" width="12.42578125" style="4" customWidth="1"/>
    <col min="3327" max="3327" width="0" style="4" hidden="1" customWidth="1"/>
    <col min="3328" max="3328" width="11.28515625" style="4" customWidth="1"/>
    <col min="3329" max="3575" width="6.7109375" style="4"/>
    <col min="3576" max="3576" width="8" style="4" customWidth="1"/>
    <col min="3577" max="3577" width="29.42578125" style="4" customWidth="1"/>
    <col min="3578" max="3578" width="0" style="4" hidden="1" customWidth="1"/>
    <col min="3579" max="3579" width="13" style="4" customWidth="1"/>
    <col min="3580" max="3580" width="11.7109375" style="4" customWidth="1"/>
    <col min="3581" max="3581" width="12.140625" style="4" customWidth="1"/>
    <col min="3582" max="3582" width="12.42578125" style="4" customWidth="1"/>
    <col min="3583" max="3583" width="0" style="4" hidden="1" customWidth="1"/>
    <col min="3584" max="3584" width="11.28515625" style="4" customWidth="1"/>
    <col min="3585" max="3831" width="6.7109375" style="4"/>
    <col min="3832" max="3832" width="8" style="4" customWidth="1"/>
    <col min="3833" max="3833" width="29.42578125" style="4" customWidth="1"/>
    <col min="3834" max="3834" width="0" style="4" hidden="1" customWidth="1"/>
    <col min="3835" max="3835" width="13" style="4" customWidth="1"/>
    <col min="3836" max="3836" width="11.7109375" style="4" customWidth="1"/>
    <col min="3837" max="3837" width="12.140625" style="4" customWidth="1"/>
    <col min="3838" max="3838" width="12.42578125" style="4" customWidth="1"/>
    <col min="3839" max="3839" width="0" style="4" hidden="1" customWidth="1"/>
    <col min="3840" max="3840" width="11.28515625" style="4" customWidth="1"/>
    <col min="3841" max="4087" width="6.7109375" style="4"/>
    <col min="4088" max="4088" width="8" style="4" customWidth="1"/>
    <col min="4089" max="4089" width="29.42578125" style="4" customWidth="1"/>
    <col min="4090" max="4090" width="0" style="4" hidden="1" customWidth="1"/>
    <col min="4091" max="4091" width="13" style="4" customWidth="1"/>
    <col min="4092" max="4092" width="11.7109375" style="4" customWidth="1"/>
    <col min="4093" max="4093" width="12.140625" style="4" customWidth="1"/>
    <col min="4094" max="4094" width="12.42578125" style="4" customWidth="1"/>
    <col min="4095" max="4095" width="0" style="4" hidden="1" customWidth="1"/>
    <col min="4096" max="4096" width="11.28515625" style="4" customWidth="1"/>
    <col min="4097" max="4343" width="6.7109375" style="4"/>
    <col min="4344" max="4344" width="8" style="4" customWidth="1"/>
    <col min="4345" max="4345" width="29.42578125" style="4" customWidth="1"/>
    <col min="4346" max="4346" width="0" style="4" hidden="1" customWidth="1"/>
    <col min="4347" max="4347" width="13" style="4" customWidth="1"/>
    <col min="4348" max="4348" width="11.7109375" style="4" customWidth="1"/>
    <col min="4349" max="4349" width="12.140625" style="4" customWidth="1"/>
    <col min="4350" max="4350" width="12.42578125" style="4" customWidth="1"/>
    <col min="4351" max="4351" width="0" style="4" hidden="1" customWidth="1"/>
    <col min="4352" max="4352" width="11.28515625" style="4" customWidth="1"/>
    <col min="4353" max="4599" width="6.7109375" style="4"/>
    <col min="4600" max="4600" width="8" style="4" customWidth="1"/>
    <col min="4601" max="4601" width="29.42578125" style="4" customWidth="1"/>
    <col min="4602" max="4602" width="0" style="4" hidden="1" customWidth="1"/>
    <col min="4603" max="4603" width="13" style="4" customWidth="1"/>
    <col min="4604" max="4604" width="11.7109375" style="4" customWidth="1"/>
    <col min="4605" max="4605" width="12.140625" style="4" customWidth="1"/>
    <col min="4606" max="4606" width="12.42578125" style="4" customWidth="1"/>
    <col min="4607" max="4607" width="0" style="4" hidden="1" customWidth="1"/>
    <col min="4608" max="4608" width="11.28515625" style="4" customWidth="1"/>
    <col min="4609" max="4855" width="6.7109375" style="4"/>
    <col min="4856" max="4856" width="8" style="4" customWidth="1"/>
    <col min="4857" max="4857" width="29.42578125" style="4" customWidth="1"/>
    <col min="4858" max="4858" width="0" style="4" hidden="1" customWidth="1"/>
    <col min="4859" max="4859" width="13" style="4" customWidth="1"/>
    <col min="4860" max="4860" width="11.7109375" style="4" customWidth="1"/>
    <col min="4861" max="4861" width="12.140625" style="4" customWidth="1"/>
    <col min="4862" max="4862" width="12.42578125" style="4" customWidth="1"/>
    <col min="4863" max="4863" width="0" style="4" hidden="1" customWidth="1"/>
    <col min="4864" max="4864" width="11.28515625" style="4" customWidth="1"/>
    <col min="4865" max="5111" width="6.7109375" style="4"/>
    <col min="5112" max="5112" width="8" style="4" customWidth="1"/>
    <col min="5113" max="5113" width="29.42578125" style="4" customWidth="1"/>
    <col min="5114" max="5114" width="0" style="4" hidden="1" customWidth="1"/>
    <col min="5115" max="5115" width="13" style="4" customWidth="1"/>
    <col min="5116" max="5116" width="11.7109375" style="4" customWidth="1"/>
    <col min="5117" max="5117" width="12.140625" style="4" customWidth="1"/>
    <col min="5118" max="5118" width="12.42578125" style="4" customWidth="1"/>
    <col min="5119" max="5119" width="0" style="4" hidden="1" customWidth="1"/>
    <col min="5120" max="5120" width="11.28515625" style="4" customWidth="1"/>
    <col min="5121" max="5367" width="6.7109375" style="4"/>
    <col min="5368" max="5368" width="8" style="4" customWidth="1"/>
    <col min="5369" max="5369" width="29.42578125" style="4" customWidth="1"/>
    <col min="5370" max="5370" width="0" style="4" hidden="1" customWidth="1"/>
    <col min="5371" max="5371" width="13" style="4" customWidth="1"/>
    <col min="5372" max="5372" width="11.7109375" style="4" customWidth="1"/>
    <col min="5373" max="5373" width="12.140625" style="4" customWidth="1"/>
    <col min="5374" max="5374" width="12.42578125" style="4" customWidth="1"/>
    <col min="5375" max="5375" width="0" style="4" hidden="1" customWidth="1"/>
    <col min="5376" max="5376" width="11.28515625" style="4" customWidth="1"/>
    <col min="5377" max="5623" width="6.7109375" style="4"/>
    <col min="5624" max="5624" width="8" style="4" customWidth="1"/>
    <col min="5625" max="5625" width="29.42578125" style="4" customWidth="1"/>
    <col min="5626" max="5626" width="0" style="4" hidden="1" customWidth="1"/>
    <col min="5627" max="5627" width="13" style="4" customWidth="1"/>
    <col min="5628" max="5628" width="11.7109375" style="4" customWidth="1"/>
    <col min="5629" max="5629" width="12.140625" style="4" customWidth="1"/>
    <col min="5630" max="5630" width="12.42578125" style="4" customWidth="1"/>
    <col min="5631" max="5631" width="0" style="4" hidden="1" customWidth="1"/>
    <col min="5632" max="5632" width="11.28515625" style="4" customWidth="1"/>
    <col min="5633" max="5879" width="6.7109375" style="4"/>
    <col min="5880" max="5880" width="8" style="4" customWidth="1"/>
    <col min="5881" max="5881" width="29.42578125" style="4" customWidth="1"/>
    <col min="5882" max="5882" width="0" style="4" hidden="1" customWidth="1"/>
    <col min="5883" max="5883" width="13" style="4" customWidth="1"/>
    <col min="5884" max="5884" width="11.7109375" style="4" customWidth="1"/>
    <col min="5885" max="5885" width="12.140625" style="4" customWidth="1"/>
    <col min="5886" max="5886" width="12.42578125" style="4" customWidth="1"/>
    <col min="5887" max="5887" width="0" style="4" hidden="1" customWidth="1"/>
    <col min="5888" max="5888" width="11.28515625" style="4" customWidth="1"/>
    <col min="5889" max="6135" width="6.7109375" style="4"/>
    <col min="6136" max="6136" width="8" style="4" customWidth="1"/>
    <col min="6137" max="6137" width="29.42578125" style="4" customWidth="1"/>
    <col min="6138" max="6138" width="0" style="4" hidden="1" customWidth="1"/>
    <col min="6139" max="6139" width="13" style="4" customWidth="1"/>
    <col min="6140" max="6140" width="11.7109375" style="4" customWidth="1"/>
    <col min="6141" max="6141" width="12.140625" style="4" customWidth="1"/>
    <col min="6142" max="6142" width="12.42578125" style="4" customWidth="1"/>
    <col min="6143" max="6143" width="0" style="4" hidden="1" customWidth="1"/>
    <col min="6144" max="6144" width="11.28515625" style="4" customWidth="1"/>
    <col min="6145" max="6391" width="6.7109375" style="4"/>
    <col min="6392" max="6392" width="8" style="4" customWidth="1"/>
    <col min="6393" max="6393" width="29.42578125" style="4" customWidth="1"/>
    <col min="6394" max="6394" width="0" style="4" hidden="1" customWidth="1"/>
    <col min="6395" max="6395" width="13" style="4" customWidth="1"/>
    <col min="6396" max="6396" width="11.7109375" style="4" customWidth="1"/>
    <col min="6397" max="6397" width="12.140625" style="4" customWidth="1"/>
    <col min="6398" max="6398" width="12.42578125" style="4" customWidth="1"/>
    <col min="6399" max="6399" width="0" style="4" hidden="1" customWidth="1"/>
    <col min="6400" max="6400" width="11.28515625" style="4" customWidth="1"/>
    <col min="6401" max="6647" width="6.7109375" style="4"/>
    <col min="6648" max="6648" width="8" style="4" customWidth="1"/>
    <col min="6649" max="6649" width="29.42578125" style="4" customWidth="1"/>
    <col min="6650" max="6650" width="0" style="4" hidden="1" customWidth="1"/>
    <col min="6651" max="6651" width="13" style="4" customWidth="1"/>
    <col min="6652" max="6652" width="11.7109375" style="4" customWidth="1"/>
    <col min="6653" max="6653" width="12.140625" style="4" customWidth="1"/>
    <col min="6654" max="6654" width="12.42578125" style="4" customWidth="1"/>
    <col min="6655" max="6655" width="0" style="4" hidden="1" customWidth="1"/>
    <col min="6656" max="6656" width="11.28515625" style="4" customWidth="1"/>
    <col min="6657" max="6903" width="6.7109375" style="4"/>
    <col min="6904" max="6904" width="8" style="4" customWidth="1"/>
    <col min="6905" max="6905" width="29.42578125" style="4" customWidth="1"/>
    <col min="6906" max="6906" width="0" style="4" hidden="1" customWidth="1"/>
    <col min="6907" max="6907" width="13" style="4" customWidth="1"/>
    <col min="6908" max="6908" width="11.7109375" style="4" customWidth="1"/>
    <col min="6909" max="6909" width="12.140625" style="4" customWidth="1"/>
    <col min="6910" max="6910" width="12.42578125" style="4" customWidth="1"/>
    <col min="6911" max="6911" width="0" style="4" hidden="1" customWidth="1"/>
    <col min="6912" max="6912" width="11.28515625" style="4" customWidth="1"/>
    <col min="6913" max="7159" width="6.7109375" style="4"/>
    <col min="7160" max="7160" width="8" style="4" customWidth="1"/>
    <col min="7161" max="7161" width="29.42578125" style="4" customWidth="1"/>
    <col min="7162" max="7162" width="0" style="4" hidden="1" customWidth="1"/>
    <col min="7163" max="7163" width="13" style="4" customWidth="1"/>
    <col min="7164" max="7164" width="11.7109375" style="4" customWidth="1"/>
    <col min="7165" max="7165" width="12.140625" style="4" customWidth="1"/>
    <col min="7166" max="7166" width="12.42578125" style="4" customWidth="1"/>
    <col min="7167" max="7167" width="0" style="4" hidden="1" customWidth="1"/>
    <col min="7168" max="7168" width="11.28515625" style="4" customWidth="1"/>
    <col min="7169" max="7415" width="6.7109375" style="4"/>
    <col min="7416" max="7416" width="8" style="4" customWidth="1"/>
    <col min="7417" max="7417" width="29.42578125" style="4" customWidth="1"/>
    <col min="7418" max="7418" width="0" style="4" hidden="1" customWidth="1"/>
    <col min="7419" max="7419" width="13" style="4" customWidth="1"/>
    <col min="7420" max="7420" width="11.7109375" style="4" customWidth="1"/>
    <col min="7421" max="7421" width="12.140625" style="4" customWidth="1"/>
    <col min="7422" max="7422" width="12.42578125" style="4" customWidth="1"/>
    <col min="7423" max="7423" width="0" style="4" hidden="1" customWidth="1"/>
    <col min="7424" max="7424" width="11.28515625" style="4" customWidth="1"/>
    <col min="7425" max="7671" width="6.7109375" style="4"/>
    <col min="7672" max="7672" width="8" style="4" customWidth="1"/>
    <col min="7673" max="7673" width="29.42578125" style="4" customWidth="1"/>
    <col min="7674" max="7674" width="0" style="4" hidden="1" customWidth="1"/>
    <col min="7675" max="7675" width="13" style="4" customWidth="1"/>
    <col min="7676" max="7676" width="11.7109375" style="4" customWidth="1"/>
    <col min="7677" max="7677" width="12.140625" style="4" customWidth="1"/>
    <col min="7678" max="7678" width="12.42578125" style="4" customWidth="1"/>
    <col min="7679" max="7679" width="0" style="4" hidden="1" customWidth="1"/>
    <col min="7680" max="7680" width="11.28515625" style="4" customWidth="1"/>
    <col min="7681" max="7927" width="6.7109375" style="4"/>
    <col min="7928" max="7928" width="8" style="4" customWidth="1"/>
    <col min="7929" max="7929" width="29.42578125" style="4" customWidth="1"/>
    <col min="7930" max="7930" width="0" style="4" hidden="1" customWidth="1"/>
    <col min="7931" max="7931" width="13" style="4" customWidth="1"/>
    <col min="7932" max="7932" width="11.7109375" style="4" customWidth="1"/>
    <col min="7933" max="7933" width="12.140625" style="4" customWidth="1"/>
    <col min="7934" max="7934" width="12.42578125" style="4" customWidth="1"/>
    <col min="7935" max="7935" width="0" style="4" hidden="1" customWidth="1"/>
    <col min="7936" max="7936" width="11.28515625" style="4" customWidth="1"/>
    <col min="7937" max="8183" width="6.7109375" style="4"/>
    <col min="8184" max="8184" width="8" style="4" customWidth="1"/>
    <col min="8185" max="8185" width="29.42578125" style="4" customWidth="1"/>
    <col min="8186" max="8186" width="0" style="4" hidden="1" customWidth="1"/>
    <col min="8187" max="8187" width="13" style="4" customWidth="1"/>
    <col min="8188" max="8188" width="11.7109375" style="4" customWidth="1"/>
    <col min="8189" max="8189" width="12.140625" style="4" customWidth="1"/>
    <col min="8190" max="8190" width="12.42578125" style="4" customWidth="1"/>
    <col min="8191" max="8191" width="0" style="4" hidden="1" customWidth="1"/>
    <col min="8192" max="8192" width="11.28515625" style="4" customWidth="1"/>
    <col min="8193" max="8439" width="6.7109375" style="4"/>
    <col min="8440" max="8440" width="8" style="4" customWidth="1"/>
    <col min="8441" max="8441" width="29.42578125" style="4" customWidth="1"/>
    <col min="8442" max="8442" width="0" style="4" hidden="1" customWidth="1"/>
    <col min="8443" max="8443" width="13" style="4" customWidth="1"/>
    <col min="8444" max="8444" width="11.7109375" style="4" customWidth="1"/>
    <col min="8445" max="8445" width="12.140625" style="4" customWidth="1"/>
    <col min="8446" max="8446" width="12.42578125" style="4" customWidth="1"/>
    <col min="8447" max="8447" width="0" style="4" hidden="1" customWidth="1"/>
    <col min="8448" max="8448" width="11.28515625" style="4" customWidth="1"/>
    <col min="8449" max="8695" width="6.7109375" style="4"/>
    <col min="8696" max="8696" width="8" style="4" customWidth="1"/>
    <col min="8697" max="8697" width="29.42578125" style="4" customWidth="1"/>
    <col min="8698" max="8698" width="0" style="4" hidden="1" customWidth="1"/>
    <col min="8699" max="8699" width="13" style="4" customWidth="1"/>
    <col min="8700" max="8700" width="11.7109375" style="4" customWidth="1"/>
    <col min="8701" max="8701" width="12.140625" style="4" customWidth="1"/>
    <col min="8702" max="8702" width="12.42578125" style="4" customWidth="1"/>
    <col min="8703" max="8703" width="0" style="4" hidden="1" customWidth="1"/>
    <col min="8704" max="8704" width="11.28515625" style="4" customWidth="1"/>
    <col min="8705" max="8951" width="6.7109375" style="4"/>
    <col min="8952" max="8952" width="8" style="4" customWidth="1"/>
    <col min="8953" max="8953" width="29.42578125" style="4" customWidth="1"/>
    <col min="8954" max="8954" width="0" style="4" hidden="1" customWidth="1"/>
    <col min="8955" max="8955" width="13" style="4" customWidth="1"/>
    <col min="8956" max="8956" width="11.7109375" style="4" customWidth="1"/>
    <col min="8957" max="8957" width="12.140625" style="4" customWidth="1"/>
    <col min="8958" max="8958" width="12.42578125" style="4" customWidth="1"/>
    <col min="8959" max="8959" width="0" style="4" hidden="1" customWidth="1"/>
    <col min="8960" max="8960" width="11.28515625" style="4" customWidth="1"/>
    <col min="8961" max="9207" width="6.7109375" style="4"/>
    <col min="9208" max="9208" width="8" style="4" customWidth="1"/>
    <col min="9209" max="9209" width="29.42578125" style="4" customWidth="1"/>
    <col min="9210" max="9210" width="0" style="4" hidden="1" customWidth="1"/>
    <col min="9211" max="9211" width="13" style="4" customWidth="1"/>
    <col min="9212" max="9212" width="11.7109375" style="4" customWidth="1"/>
    <col min="9213" max="9213" width="12.140625" style="4" customWidth="1"/>
    <col min="9214" max="9214" width="12.42578125" style="4" customWidth="1"/>
    <col min="9215" max="9215" width="0" style="4" hidden="1" customWidth="1"/>
    <col min="9216" max="9216" width="11.28515625" style="4" customWidth="1"/>
    <col min="9217" max="9463" width="6.7109375" style="4"/>
    <col min="9464" max="9464" width="8" style="4" customWidth="1"/>
    <col min="9465" max="9465" width="29.42578125" style="4" customWidth="1"/>
    <col min="9466" max="9466" width="0" style="4" hidden="1" customWidth="1"/>
    <col min="9467" max="9467" width="13" style="4" customWidth="1"/>
    <col min="9468" max="9468" width="11.7109375" style="4" customWidth="1"/>
    <col min="9469" max="9469" width="12.140625" style="4" customWidth="1"/>
    <col min="9470" max="9470" width="12.42578125" style="4" customWidth="1"/>
    <col min="9471" max="9471" width="0" style="4" hidden="1" customWidth="1"/>
    <col min="9472" max="9472" width="11.28515625" style="4" customWidth="1"/>
    <col min="9473" max="9719" width="6.7109375" style="4"/>
    <col min="9720" max="9720" width="8" style="4" customWidth="1"/>
    <col min="9721" max="9721" width="29.42578125" style="4" customWidth="1"/>
    <col min="9722" max="9722" width="0" style="4" hidden="1" customWidth="1"/>
    <col min="9723" max="9723" width="13" style="4" customWidth="1"/>
    <col min="9724" max="9724" width="11.7109375" style="4" customWidth="1"/>
    <col min="9725" max="9725" width="12.140625" style="4" customWidth="1"/>
    <col min="9726" max="9726" width="12.42578125" style="4" customWidth="1"/>
    <col min="9727" max="9727" width="0" style="4" hidden="1" customWidth="1"/>
    <col min="9728" max="9728" width="11.28515625" style="4" customWidth="1"/>
    <col min="9729" max="9975" width="6.7109375" style="4"/>
    <col min="9976" max="9976" width="8" style="4" customWidth="1"/>
    <col min="9977" max="9977" width="29.42578125" style="4" customWidth="1"/>
    <col min="9978" max="9978" width="0" style="4" hidden="1" customWidth="1"/>
    <col min="9979" max="9979" width="13" style="4" customWidth="1"/>
    <col min="9980" max="9980" width="11.7109375" style="4" customWidth="1"/>
    <col min="9981" max="9981" width="12.140625" style="4" customWidth="1"/>
    <col min="9982" max="9982" width="12.42578125" style="4" customWidth="1"/>
    <col min="9983" max="9983" width="0" style="4" hidden="1" customWidth="1"/>
    <col min="9984" max="9984" width="11.28515625" style="4" customWidth="1"/>
    <col min="9985" max="10231" width="6.7109375" style="4"/>
    <col min="10232" max="10232" width="8" style="4" customWidth="1"/>
    <col min="10233" max="10233" width="29.42578125" style="4" customWidth="1"/>
    <col min="10234" max="10234" width="0" style="4" hidden="1" customWidth="1"/>
    <col min="10235" max="10235" width="13" style="4" customWidth="1"/>
    <col min="10236" max="10236" width="11.7109375" style="4" customWidth="1"/>
    <col min="10237" max="10237" width="12.140625" style="4" customWidth="1"/>
    <col min="10238" max="10238" width="12.42578125" style="4" customWidth="1"/>
    <col min="10239" max="10239" width="0" style="4" hidden="1" customWidth="1"/>
    <col min="10240" max="10240" width="11.28515625" style="4" customWidth="1"/>
    <col min="10241" max="10487" width="6.7109375" style="4"/>
    <col min="10488" max="10488" width="8" style="4" customWidth="1"/>
    <col min="10489" max="10489" width="29.42578125" style="4" customWidth="1"/>
    <col min="10490" max="10490" width="0" style="4" hidden="1" customWidth="1"/>
    <col min="10491" max="10491" width="13" style="4" customWidth="1"/>
    <col min="10492" max="10492" width="11.7109375" style="4" customWidth="1"/>
    <col min="10493" max="10493" width="12.140625" style="4" customWidth="1"/>
    <col min="10494" max="10494" width="12.42578125" style="4" customWidth="1"/>
    <col min="10495" max="10495" width="0" style="4" hidden="1" customWidth="1"/>
    <col min="10496" max="10496" width="11.28515625" style="4" customWidth="1"/>
    <col min="10497" max="10743" width="6.7109375" style="4"/>
    <col min="10744" max="10744" width="8" style="4" customWidth="1"/>
    <col min="10745" max="10745" width="29.42578125" style="4" customWidth="1"/>
    <col min="10746" max="10746" width="0" style="4" hidden="1" customWidth="1"/>
    <col min="10747" max="10747" width="13" style="4" customWidth="1"/>
    <col min="10748" max="10748" width="11.7109375" style="4" customWidth="1"/>
    <col min="10749" max="10749" width="12.140625" style="4" customWidth="1"/>
    <col min="10750" max="10750" width="12.42578125" style="4" customWidth="1"/>
    <col min="10751" max="10751" width="0" style="4" hidden="1" customWidth="1"/>
    <col min="10752" max="10752" width="11.28515625" style="4" customWidth="1"/>
    <col min="10753" max="10999" width="6.7109375" style="4"/>
    <col min="11000" max="11000" width="8" style="4" customWidth="1"/>
    <col min="11001" max="11001" width="29.42578125" style="4" customWidth="1"/>
    <col min="11002" max="11002" width="0" style="4" hidden="1" customWidth="1"/>
    <col min="11003" max="11003" width="13" style="4" customWidth="1"/>
    <col min="11004" max="11004" width="11.7109375" style="4" customWidth="1"/>
    <col min="11005" max="11005" width="12.140625" style="4" customWidth="1"/>
    <col min="11006" max="11006" width="12.42578125" style="4" customWidth="1"/>
    <col min="11007" max="11007" width="0" style="4" hidden="1" customWidth="1"/>
    <col min="11008" max="11008" width="11.28515625" style="4" customWidth="1"/>
    <col min="11009" max="11255" width="6.7109375" style="4"/>
    <col min="11256" max="11256" width="8" style="4" customWidth="1"/>
    <col min="11257" max="11257" width="29.42578125" style="4" customWidth="1"/>
    <col min="11258" max="11258" width="0" style="4" hidden="1" customWidth="1"/>
    <col min="11259" max="11259" width="13" style="4" customWidth="1"/>
    <col min="11260" max="11260" width="11.7109375" style="4" customWidth="1"/>
    <col min="11261" max="11261" width="12.140625" style="4" customWidth="1"/>
    <col min="11262" max="11262" width="12.42578125" style="4" customWidth="1"/>
    <col min="11263" max="11263" width="0" style="4" hidden="1" customWidth="1"/>
    <col min="11264" max="11264" width="11.28515625" style="4" customWidth="1"/>
    <col min="11265" max="11511" width="6.7109375" style="4"/>
    <col min="11512" max="11512" width="8" style="4" customWidth="1"/>
    <col min="11513" max="11513" width="29.42578125" style="4" customWidth="1"/>
    <col min="11514" max="11514" width="0" style="4" hidden="1" customWidth="1"/>
    <col min="11515" max="11515" width="13" style="4" customWidth="1"/>
    <col min="11516" max="11516" width="11.7109375" style="4" customWidth="1"/>
    <col min="11517" max="11517" width="12.140625" style="4" customWidth="1"/>
    <col min="11518" max="11518" width="12.42578125" style="4" customWidth="1"/>
    <col min="11519" max="11519" width="0" style="4" hidden="1" customWidth="1"/>
    <col min="11520" max="11520" width="11.28515625" style="4" customWidth="1"/>
    <col min="11521" max="11767" width="6.7109375" style="4"/>
    <col min="11768" max="11768" width="8" style="4" customWidth="1"/>
    <col min="11769" max="11769" width="29.42578125" style="4" customWidth="1"/>
    <col min="11770" max="11770" width="0" style="4" hidden="1" customWidth="1"/>
    <col min="11771" max="11771" width="13" style="4" customWidth="1"/>
    <col min="11772" max="11772" width="11.7109375" style="4" customWidth="1"/>
    <col min="11773" max="11773" width="12.140625" style="4" customWidth="1"/>
    <col min="11774" max="11774" width="12.42578125" style="4" customWidth="1"/>
    <col min="11775" max="11775" width="0" style="4" hidden="1" customWidth="1"/>
    <col min="11776" max="11776" width="11.28515625" style="4" customWidth="1"/>
    <col min="11777" max="12023" width="6.7109375" style="4"/>
    <col min="12024" max="12024" width="8" style="4" customWidth="1"/>
    <col min="12025" max="12025" width="29.42578125" style="4" customWidth="1"/>
    <col min="12026" max="12026" width="0" style="4" hidden="1" customWidth="1"/>
    <col min="12027" max="12027" width="13" style="4" customWidth="1"/>
    <col min="12028" max="12028" width="11.7109375" style="4" customWidth="1"/>
    <col min="12029" max="12029" width="12.140625" style="4" customWidth="1"/>
    <col min="12030" max="12030" width="12.42578125" style="4" customWidth="1"/>
    <col min="12031" max="12031" width="0" style="4" hidden="1" customWidth="1"/>
    <col min="12032" max="12032" width="11.28515625" style="4" customWidth="1"/>
    <col min="12033" max="12279" width="6.7109375" style="4"/>
    <col min="12280" max="12280" width="8" style="4" customWidth="1"/>
    <col min="12281" max="12281" width="29.42578125" style="4" customWidth="1"/>
    <col min="12282" max="12282" width="0" style="4" hidden="1" customWidth="1"/>
    <col min="12283" max="12283" width="13" style="4" customWidth="1"/>
    <col min="12284" max="12284" width="11.7109375" style="4" customWidth="1"/>
    <col min="12285" max="12285" width="12.140625" style="4" customWidth="1"/>
    <col min="12286" max="12286" width="12.42578125" style="4" customWidth="1"/>
    <col min="12287" max="12287" width="0" style="4" hidden="1" customWidth="1"/>
    <col min="12288" max="12288" width="11.28515625" style="4" customWidth="1"/>
    <col min="12289" max="12535" width="6.7109375" style="4"/>
    <col min="12536" max="12536" width="8" style="4" customWidth="1"/>
    <col min="12537" max="12537" width="29.42578125" style="4" customWidth="1"/>
    <col min="12538" max="12538" width="0" style="4" hidden="1" customWidth="1"/>
    <col min="12539" max="12539" width="13" style="4" customWidth="1"/>
    <col min="12540" max="12540" width="11.7109375" style="4" customWidth="1"/>
    <col min="12541" max="12541" width="12.140625" style="4" customWidth="1"/>
    <col min="12542" max="12542" width="12.42578125" style="4" customWidth="1"/>
    <col min="12543" max="12543" width="0" style="4" hidden="1" customWidth="1"/>
    <col min="12544" max="12544" width="11.28515625" style="4" customWidth="1"/>
    <col min="12545" max="12791" width="6.7109375" style="4"/>
    <col min="12792" max="12792" width="8" style="4" customWidth="1"/>
    <col min="12793" max="12793" width="29.42578125" style="4" customWidth="1"/>
    <col min="12794" max="12794" width="0" style="4" hidden="1" customWidth="1"/>
    <col min="12795" max="12795" width="13" style="4" customWidth="1"/>
    <col min="12796" max="12796" width="11.7109375" style="4" customWidth="1"/>
    <col min="12797" max="12797" width="12.140625" style="4" customWidth="1"/>
    <col min="12798" max="12798" width="12.42578125" style="4" customWidth="1"/>
    <col min="12799" max="12799" width="0" style="4" hidden="1" customWidth="1"/>
    <col min="12800" max="12800" width="11.28515625" style="4" customWidth="1"/>
    <col min="12801" max="13047" width="6.7109375" style="4"/>
    <col min="13048" max="13048" width="8" style="4" customWidth="1"/>
    <col min="13049" max="13049" width="29.42578125" style="4" customWidth="1"/>
    <col min="13050" max="13050" width="0" style="4" hidden="1" customWidth="1"/>
    <col min="13051" max="13051" width="13" style="4" customWidth="1"/>
    <col min="13052" max="13052" width="11.7109375" style="4" customWidth="1"/>
    <col min="13053" max="13053" width="12.140625" style="4" customWidth="1"/>
    <col min="13054" max="13054" width="12.42578125" style="4" customWidth="1"/>
    <col min="13055" max="13055" width="0" style="4" hidden="1" customWidth="1"/>
    <col min="13056" max="13056" width="11.28515625" style="4" customWidth="1"/>
    <col min="13057" max="13303" width="6.7109375" style="4"/>
    <col min="13304" max="13304" width="8" style="4" customWidth="1"/>
    <col min="13305" max="13305" width="29.42578125" style="4" customWidth="1"/>
    <col min="13306" max="13306" width="0" style="4" hidden="1" customWidth="1"/>
    <col min="13307" max="13307" width="13" style="4" customWidth="1"/>
    <col min="13308" max="13308" width="11.7109375" style="4" customWidth="1"/>
    <col min="13309" max="13309" width="12.140625" style="4" customWidth="1"/>
    <col min="13310" max="13310" width="12.42578125" style="4" customWidth="1"/>
    <col min="13311" max="13311" width="0" style="4" hidden="1" customWidth="1"/>
    <col min="13312" max="13312" width="11.28515625" style="4" customWidth="1"/>
    <col min="13313" max="13559" width="6.7109375" style="4"/>
    <col min="13560" max="13560" width="8" style="4" customWidth="1"/>
    <col min="13561" max="13561" width="29.42578125" style="4" customWidth="1"/>
    <col min="13562" max="13562" width="0" style="4" hidden="1" customWidth="1"/>
    <col min="13563" max="13563" width="13" style="4" customWidth="1"/>
    <col min="13564" max="13564" width="11.7109375" style="4" customWidth="1"/>
    <col min="13565" max="13565" width="12.140625" style="4" customWidth="1"/>
    <col min="13566" max="13566" width="12.42578125" style="4" customWidth="1"/>
    <col min="13567" max="13567" width="0" style="4" hidden="1" customWidth="1"/>
    <col min="13568" max="13568" width="11.28515625" style="4" customWidth="1"/>
    <col min="13569" max="13815" width="6.7109375" style="4"/>
    <col min="13816" max="13816" width="8" style="4" customWidth="1"/>
    <col min="13817" max="13817" width="29.42578125" style="4" customWidth="1"/>
    <col min="13818" max="13818" width="0" style="4" hidden="1" customWidth="1"/>
    <col min="13819" max="13819" width="13" style="4" customWidth="1"/>
    <col min="13820" max="13820" width="11.7109375" style="4" customWidth="1"/>
    <col min="13821" max="13821" width="12.140625" style="4" customWidth="1"/>
    <col min="13822" max="13822" width="12.42578125" style="4" customWidth="1"/>
    <col min="13823" max="13823" width="0" style="4" hidden="1" customWidth="1"/>
    <col min="13824" max="13824" width="11.28515625" style="4" customWidth="1"/>
    <col min="13825" max="14071" width="6.7109375" style="4"/>
    <col min="14072" max="14072" width="8" style="4" customWidth="1"/>
    <col min="14073" max="14073" width="29.42578125" style="4" customWidth="1"/>
    <col min="14074" max="14074" width="0" style="4" hidden="1" customWidth="1"/>
    <col min="14075" max="14075" width="13" style="4" customWidth="1"/>
    <col min="14076" max="14076" width="11.7109375" style="4" customWidth="1"/>
    <col min="14077" max="14077" width="12.140625" style="4" customWidth="1"/>
    <col min="14078" max="14078" width="12.42578125" style="4" customWidth="1"/>
    <col min="14079" max="14079" width="0" style="4" hidden="1" customWidth="1"/>
    <col min="14080" max="14080" width="11.28515625" style="4" customWidth="1"/>
    <col min="14081" max="14327" width="6.7109375" style="4"/>
    <col min="14328" max="14328" width="8" style="4" customWidth="1"/>
    <col min="14329" max="14329" width="29.42578125" style="4" customWidth="1"/>
    <col min="14330" max="14330" width="0" style="4" hidden="1" customWidth="1"/>
    <col min="14331" max="14331" width="13" style="4" customWidth="1"/>
    <col min="14332" max="14332" width="11.7109375" style="4" customWidth="1"/>
    <col min="14333" max="14333" width="12.140625" style="4" customWidth="1"/>
    <col min="14334" max="14334" width="12.42578125" style="4" customWidth="1"/>
    <col min="14335" max="14335" width="0" style="4" hidden="1" customWidth="1"/>
    <col min="14336" max="14336" width="11.28515625" style="4" customWidth="1"/>
    <col min="14337" max="14583" width="6.7109375" style="4"/>
    <col min="14584" max="14584" width="8" style="4" customWidth="1"/>
    <col min="14585" max="14585" width="29.42578125" style="4" customWidth="1"/>
    <col min="14586" max="14586" width="0" style="4" hidden="1" customWidth="1"/>
    <col min="14587" max="14587" width="13" style="4" customWidth="1"/>
    <col min="14588" max="14588" width="11.7109375" style="4" customWidth="1"/>
    <col min="14589" max="14589" width="12.140625" style="4" customWidth="1"/>
    <col min="14590" max="14590" width="12.42578125" style="4" customWidth="1"/>
    <col min="14591" max="14591" width="0" style="4" hidden="1" customWidth="1"/>
    <col min="14592" max="14592" width="11.28515625" style="4" customWidth="1"/>
    <col min="14593" max="14839" width="6.7109375" style="4"/>
    <col min="14840" max="14840" width="8" style="4" customWidth="1"/>
    <col min="14841" max="14841" width="29.42578125" style="4" customWidth="1"/>
    <col min="14842" max="14842" width="0" style="4" hidden="1" customWidth="1"/>
    <col min="14843" max="14843" width="13" style="4" customWidth="1"/>
    <col min="14844" max="14844" width="11.7109375" style="4" customWidth="1"/>
    <col min="14845" max="14845" width="12.140625" style="4" customWidth="1"/>
    <col min="14846" max="14846" width="12.42578125" style="4" customWidth="1"/>
    <col min="14847" max="14847" width="0" style="4" hidden="1" customWidth="1"/>
    <col min="14848" max="14848" width="11.28515625" style="4" customWidth="1"/>
    <col min="14849" max="15095" width="6.7109375" style="4"/>
    <col min="15096" max="15096" width="8" style="4" customWidth="1"/>
    <col min="15097" max="15097" width="29.42578125" style="4" customWidth="1"/>
    <col min="15098" max="15098" width="0" style="4" hidden="1" customWidth="1"/>
    <col min="15099" max="15099" width="13" style="4" customWidth="1"/>
    <col min="15100" max="15100" width="11.7109375" style="4" customWidth="1"/>
    <col min="15101" max="15101" width="12.140625" style="4" customWidth="1"/>
    <col min="15102" max="15102" width="12.42578125" style="4" customWidth="1"/>
    <col min="15103" max="15103" width="0" style="4" hidden="1" customWidth="1"/>
    <col min="15104" max="15104" width="11.28515625" style="4" customWidth="1"/>
    <col min="15105" max="15351" width="6.7109375" style="4"/>
    <col min="15352" max="15352" width="8" style="4" customWidth="1"/>
    <col min="15353" max="15353" width="29.42578125" style="4" customWidth="1"/>
    <col min="15354" max="15354" width="0" style="4" hidden="1" customWidth="1"/>
    <col min="15355" max="15355" width="13" style="4" customWidth="1"/>
    <col min="15356" max="15356" width="11.7109375" style="4" customWidth="1"/>
    <col min="15357" max="15357" width="12.140625" style="4" customWidth="1"/>
    <col min="15358" max="15358" width="12.42578125" style="4" customWidth="1"/>
    <col min="15359" max="15359" width="0" style="4" hidden="1" customWidth="1"/>
    <col min="15360" max="15360" width="11.28515625" style="4" customWidth="1"/>
    <col min="15361" max="15607" width="6.7109375" style="4"/>
    <col min="15608" max="15608" width="8" style="4" customWidth="1"/>
    <col min="15609" max="15609" width="29.42578125" style="4" customWidth="1"/>
    <col min="15610" max="15610" width="0" style="4" hidden="1" customWidth="1"/>
    <col min="15611" max="15611" width="13" style="4" customWidth="1"/>
    <col min="15612" max="15612" width="11.7109375" style="4" customWidth="1"/>
    <col min="15613" max="15613" width="12.140625" style="4" customWidth="1"/>
    <col min="15614" max="15614" width="12.42578125" style="4" customWidth="1"/>
    <col min="15615" max="15615" width="0" style="4" hidden="1" customWidth="1"/>
    <col min="15616" max="15616" width="11.28515625" style="4" customWidth="1"/>
    <col min="15617" max="15863" width="6.7109375" style="4"/>
    <col min="15864" max="15864" width="8" style="4" customWidth="1"/>
    <col min="15865" max="15865" width="29.42578125" style="4" customWidth="1"/>
    <col min="15866" max="15866" width="0" style="4" hidden="1" customWidth="1"/>
    <col min="15867" max="15867" width="13" style="4" customWidth="1"/>
    <col min="15868" max="15868" width="11.7109375" style="4" customWidth="1"/>
    <col min="15869" max="15869" width="12.140625" style="4" customWidth="1"/>
    <col min="15870" max="15870" width="12.42578125" style="4" customWidth="1"/>
    <col min="15871" max="15871" width="0" style="4" hidden="1" customWidth="1"/>
    <col min="15872" max="15872" width="11.28515625" style="4" customWidth="1"/>
    <col min="15873" max="16119" width="6.7109375" style="4"/>
    <col min="16120" max="16120" width="8" style="4" customWidth="1"/>
    <col min="16121" max="16121" width="29.42578125" style="4" customWidth="1"/>
    <col min="16122" max="16122" width="0" style="4" hidden="1" customWidth="1"/>
    <col min="16123" max="16123" width="13" style="4" customWidth="1"/>
    <col min="16124" max="16124" width="11.7109375" style="4" customWidth="1"/>
    <col min="16125" max="16125" width="12.140625" style="4" customWidth="1"/>
    <col min="16126" max="16126" width="12.42578125" style="4" customWidth="1"/>
    <col min="16127" max="16127" width="0" style="4" hidden="1" customWidth="1"/>
    <col min="16128" max="16128" width="11.28515625" style="4" customWidth="1"/>
    <col min="16129" max="16384" width="6.7109375" style="4"/>
  </cols>
  <sheetData>
    <row r="1" spans="1:51" x14ac:dyDescent="0.2">
      <c r="G1" s="46" t="s">
        <v>142</v>
      </c>
      <c r="L1" s="4" t="s">
        <v>142</v>
      </c>
      <c r="P1" s="4" t="s">
        <v>142</v>
      </c>
      <c r="T1" s="4" t="s">
        <v>142</v>
      </c>
      <c r="X1" s="4" t="s">
        <v>142</v>
      </c>
      <c r="AB1" s="4" t="s">
        <v>142</v>
      </c>
      <c r="AF1" s="4" t="s">
        <v>142</v>
      </c>
      <c r="AJ1" s="4" t="s">
        <v>142</v>
      </c>
      <c r="AN1" s="4" t="s">
        <v>142</v>
      </c>
    </row>
    <row r="2" spans="1:51" ht="15.75" x14ac:dyDescent="0.25">
      <c r="D2" s="242" t="s">
        <v>1</v>
      </c>
      <c r="E2" s="261"/>
      <c r="F2" s="261"/>
      <c r="G2" s="261"/>
      <c r="I2" s="243" t="s">
        <v>93</v>
      </c>
      <c r="J2" s="261"/>
      <c r="K2" s="261"/>
      <c r="L2" s="261"/>
      <c r="M2" s="243" t="s">
        <v>94</v>
      </c>
      <c r="N2" s="243"/>
      <c r="O2" s="243"/>
      <c r="P2" s="243"/>
      <c r="Q2" s="242" t="s">
        <v>95</v>
      </c>
      <c r="R2" s="243"/>
      <c r="S2" s="243"/>
      <c r="T2" s="243"/>
      <c r="U2" s="242" t="s">
        <v>97</v>
      </c>
      <c r="V2" s="243"/>
      <c r="W2" s="243"/>
      <c r="X2" s="243"/>
      <c r="Y2" s="242" t="s">
        <v>98</v>
      </c>
      <c r="Z2" s="243"/>
      <c r="AA2" s="243"/>
      <c r="AB2" s="243"/>
      <c r="AC2" s="242" t="s">
        <v>99</v>
      </c>
      <c r="AD2" s="243"/>
      <c r="AE2" s="243"/>
      <c r="AF2" s="243"/>
      <c r="AG2" s="242" t="s">
        <v>102</v>
      </c>
      <c r="AH2" s="243"/>
      <c r="AI2" s="243"/>
      <c r="AJ2" s="243"/>
      <c r="AK2" s="242" t="s">
        <v>100</v>
      </c>
      <c r="AL2" s="243"/>
      <c r="AM2" s="243"/>
      <c r="AN2" s="243"/>
      <c r="AO2" s="242" t="s">
        <v>101</v>
      </c>
      <c r="AP2" s="243"/>
      <c r="AQ2" s="243"/>
      <c r="AR2" s="243"/>
      <c r="AS2" s="242" t="s">
        <v>103</v>
      </c>
      <c r="AT2" s="243"/>
      <c r="AU2" s="243"/>
      <c r="AV2" s="243"/>
      <c r="AW2" s="243"/>
    </row>
    <row r="3" spans="1:51" ht="18" customHeight="1" x14ac:dyDescent="0.2">
      <c r="A3" s="5" t="s">
        <v>0</v>
      </c>
      <c r="C3" s="5"/>
      <c r="D3" s="268" t="s">
        <v>2</v>
      </c>
      <c r="E3" s="268"/>
      <c r="F3" s="268"/>
      <c r="G3" s="6" t="s">
        <v>3</v>
      </c>
      <c r="H3" s="3" t="s">
        <v>4</v>
      </c>
      <c r="Q3" s="229"/>
    </row>
    <row r="4" spans="1:51" s="8" customFormat="1" ht="14.45" customHeight="1" thickBot="1" x14ac:dyDescent="0.25">
      <c r="A4" s="266" t="s">
        <v>5</v>
      </c>
      <c r="B4" s="266" t="s">
        <v>6</v>
      </c>
      <c r="C4" s="266" t="s">
        <v>7</v>
      </c>
      <c r="D4" s="249" t="s">
        <v>8</v>
      </c>
      <c r="E4" s="250"/>
      <c r="F4" s="250"/>
      <c r="G4" s="247" t="s">
        <v>9</v>
      </c>
      <c r="H4" s="7" t="s">
        <v>10</v>
      </c>
      <c r="I4" s="215" t="s">
        <v>90</v>
      </c>
      <c r="J4" s="82" t="s">
        <v>90</v>
      </c>
      <c r="K4" s="83">
        <v>2014</v>
      </c>
      <c r="L4" s="260" t="s">
        <v>9</v>
      </c>
      <c r="M4" s="215" t="s">
        <v>90</v>
      </c>
      <c r="N4" s="82" t="s">
        <v>90</v>
      </c>
      <c r="O4" s="83">
        <v>2014</v>
      </c>
      <c r="P4" s="260" t="s">
        <v>9</v>
      </c>
      <c r="Q4" s="230" t="s">
        <v>90</v>
      </c>
      <c r="R4" s="82" t="s">
        <v>90</v>
      </c>
      <c r="S4" s="83">
        <v>2014</v>
      </c>
      <c r="T4" s="255" t="s">
        <v>9</v>
      </c>
      <c r="U4" s="249" t="s">
        <v>8</v>
      </c>
      <c r="V4" s="250"/>
      <c r="W4" s="250"/>
      <c r="X4" s="247" t="s">
        <v>9</v>
      </c>
      <c r="Y4" s="249" t="s">
        <v>8</v>
      </c>
      <c r="Z4" s="250"/>
      <c r="AA4" s="250"/>
      <c r="AB4" s="247" t="s">
        <v>9</v>
      </c>
      <c r="AC4" s="252" t="s">
        <v>8</v>
      </c>
      <c r="AD4" s="253"/>
      <c r="AE4" s="254"/>
      <c r="AF4" s="247" t="s">
        <v>9</v>
      </c>
      <c r="AG4" s="252" t="s">
        <v>8</v>
      </c>
      <c r="AH4" s="253"/>
      <c r="AI4" s="254"/>
      <c r="AJ4" s="247" t="s">
        <v>9</v>
      </c>
      <c r="AK4" s="244" t="s">
        <v>8</v>
      </c>
      <c r="AL4" s="245"/>
      <c r="AM4" s="246"/>
      <c r="AN4" s="247" t="s">
        <v>9</v>
      </c>
      <c r="AO4" s="244" t="s">
        <v>8</v>
      </c>
      <c r="AP4" s="245"/>
      <c r="AQ4" s="246"/>
      <c r="AR4" s="247" t="s">
        <v>9</v>
      </c>
      <c r="AS4" s="244" t="s">
        <v>8</v>
      </c>
      <c r="AT4" s="245"/>
      <c r="AU4" s="246"/>
      <c r="AV4" s="196"/>
      <c r="AW4" s="247" t="s">
        <v>104</v>
      </c>
    </row>
    <row r="5" spans="1:51" s="12" customFormat="1" ht="27" customHeight="1" thickBot="1" x14ac:dyDescent="0.25">
      <c r="A5" s="266"/>
      <c r="B5" s="266"/>
      <c r="C5" s="266"/>
      <c r="D5" s="9" t="s">
        <v>11</v>
      </c>
      <c r="E5" s="9" t="s">
        <v>12</v>
      </c>
      <c r="F5" s="10" t="s">
        <v>13</v>
      </c>
      <c r="G5" s="247"/>
      <c r="H5" s="11">
        <v>2008</v>
      </c>
      <c r="I5" s="216" t="s">
        <v>91</v>
      </c>
      <c r="J5" s="84" t="s">
        <v>92</v>
      </c>
      <c r="K5" s="84" t="s">
        <v>13</v>
      </c>
      <c r="L5" s="260"/>
      <c r="M5" s="216" t="s">
        <v>91</v>
      </c>
      <c r="N5" s="84" t="s">
        <v>92</v>
      </c>
      <c r="O5" s="84" t="s">
        <v>13</v>
      </c>
      <c r="P5" s="260"/>
      <c r="Q5" s="231" t="s">
        <v>91</v>
      </c>
      <c r="R5" s="84" t="s">
        <v>92</v>
      </c>
      <c r="S5" s="84" t="s">
        <v>13</v>
      </c>
      <c r="T5" s="255"/>
      <c r="U5" s="78" t="s">
        <v>11</v>
      </c>
      <c r="V5" s="78" t="s">
        <v>96</v>
      </c>
      <c r="W5" s="10" t="s">
        <v>13</v>
      </c>
      <c r="X5" s="247"/>
      <c r="Y5" s="78" t="s">
        <v>11</v>
      </c>
      <c r="Z5" s="78" t="s">
        <v>96</v>
      </c>
      <c r="AA5" s="10" t="s">
        <v>13</v>
      </c>
      <c r="AB5" s="247"/>
      <c r="AC5" s="97" t="s">
        <v>11</v>
      </c>
      <c r="AD5" s="98" t="s">
        <v>96</v>
      </c>
      <c r="AE5" s="99" t="s">
        <v>13</v>
      </c>
      <c r="AF5" s="247"/>
      <c r="AG5" s="97" t="s">
        <v>11</v>
      </c>
      <c r="AH5" s="98" t="s">
        <v>96</v>
      </c>
      <c r="AI5" s="99" t="s">
        <v>13</v>
      </c>
      <c r="AJ5" s="247"/>
      <c r="AK5" s="103" t="s">
        <v>11</v>
      </c>
      <c r="AL5" s="103" t="s">
        <v>12</v>
      </c>
      <c r="AM5" s="104" t="s">
        <v>13</v>
      </c>
      <c r="AN5" s="247"/>
      <c r="AO5" s="103" t="s">
        <v>11</v>
      </c>
      <c r="AP5" s="103" t="s">
        <v>12</v>
      </c>
      <c r="AQ5" s="104" t="s">
        <v>13</v>
      </c>
      <c r="AR5" s="247"/>
      <c r="AS5" s="103" t="s">
        <v>11</v>
      </c>
      <c r="AT5" s="103" t="s">
        <v>12</v>
      </c>
      <c r="AU5" s="104" t="s">
        <v>13</v>
      </c>
      <c r="AV5" s="104" t="s">
        <v>130</v>
      </c>
      <c r="AW5" s="247"/>
    </row>
    <row r="6" spans="1:51" s="8" customFormat="1" ht="18" customHeight="1" thickBot="1" x14ac:dyDescent="0.25">
      <c r="A6" s="269"/>
      <c r="B6" s="269"/>
      <c r="C6" s="270"/>
      <c r="D6" s="13">
        <v>7</v>
      </c>
      <c r="E6" s="13">
        <v>8</v>
      </c>
      <c r="F6" s="13">
        <v>9</v>
      </c>
      <c r="G6" s="14">
        <v>10</v>
      </c>
      <c r="H6" s="7"/>
      <c r="I6" s="214">
        <v>7</v>
      </c>
      <c r="J6" s="79">
        <v>8</v>
      </c>
      <c r="K6" s="79">
        <v>9</v>
      </c>
      <c r="L6" s="168">
        <v>10</v>
      </c>
      <c r="M6" s="214">
        <v>7</v>
      </c>
      <c r="N6" s="79">
        <v>8</v>
      </c>
      <c r="O6" s="79">
        <v>9</v>
      </c>
      <c r="P6" s="168">
        <v>10</v>
      </c>
      <c r="Q6" s="232">
        <v>7</v>
      </c>
      <c r="R6" s="79">
        <v>8</v>
      </c>
      <c r="S6" s="79">
        <v>9</v>
      </c>
      <c r="T6" s="15">
        <v>10</v>
      </c>
      <c r="U6" s="13">
        <v>7</v>
      </c>
      <c r="V6" s="13">
        <v>8</v>
      </c>
      <c r="W6" s="13">
        <v>9</v>
      </c>
      <c r="X6" s="14">
        <v>10</v>
      </c>
      <c r="Y6" s="13">
        <v>7</v>
      </c>
      <c r="Z6" s="13">
        <v>8</v>
      </c>
      <c r="AA6" s="13">
        <v>9</v>
      </c>
      <c r="AB6" s="14">
        <v>10</v>
      </c>
      <c r="AC6" s="13">
        <v>7</v>
      </c>
      <c r="AD6" s="87">
        <v>8</v>
      </c>
      <c r="AE6" s="88">
        <v>9</v>
      </c>
      <c r="AF6" s="89">
        <v>10</v>
      </c>
      <c r="AG6" s="13">
        <v>7</v>
      </c>
      <c r="AH6" s="87">
        <v>8</v>
      </c>
      <c r="AI6" s="88">
        <v>9</v>
      </c>
      <c r="AJ6" s="89">
        <v>10</v>
      </c>
      <c r="AK6" s="105">
        <v>7</v>
      </c>
      <c r="AL6" s="105">
        <v>8</v>
      </c>
      <c r="AM6" s="106">
        <v>9</v>
      </c>
      <c r="AO6" s="105">
        <v>7</v>
      </c>
      <c r="AP6" s="105">
        <v>8</v>
      </c>
      <c r="AQ6" s="106">
        <v>9</v>
      </c>
      <c r="AS6" s="105">
        <v>7</v>
      </c>
      <c r="AT6" s="105">
        <v>8</v>
      </c>
      <c r="AU6" s="106">
        <v>9</v>
      </c>
      <c r="AV6" s="206"/>
    </row>
    <row r="7" spans="1:51" ht="15" customHeight="1" thickBot="1" x14ac:dyDescent="0.3">
      <c r="A7" s="15">
        <v>501</v>
      </c>
      <c r="B7" s="16" t="s">
        <v>14</v>
      </c>
      <c r="C7" s="17">
        <v>1</v>
      </c>
      <c r="D7" s="18">
        <v>420000</v>
      </c>
      <c r="E7" s="18">
        <v>65000</v>
      </c>
      <c r="F7" s="18">
        <f>SUM(D7:E7)</f>
        <v>485000</v>
      </c>
      <c r="G7" s="19">
        <v>589841.96</v>
      </c>
      <c r="H7" s="20">
        <f>G7-'[1]Náklady Výnosy 2008 €'!F5</f>
        <v>-4597106.1910987189</v>
      </c>
      <c r="I7" s="217">
        <f>125370</f>
        <v>125370</v>
      </c>
      <c r="J7" s="85">
        <v>25300</v>
      </c>
      <c r="K7" s="85">
        <f>I7+J7</f>
        <v>150670</v>
      </c>
      <c r="L7" s="169">
        <v>298164.49</v>
      </c>
      <c r="M7" s="223">
        <v>133408</v>
      </c>
      <c r="N7" s="138">
        <v>7000</v>
      </c>
      <c r="O7" s="138">
        <f t="shared" ref="O7:O8" si="0">SUM(M7:N7)</f>
        <v>140408</v>
      </c>
      <c r="P7" s="170">
        <v>488922.09</v>
      </c>
      <c r="Q7" s="233">
        <v>1000000</v>
      </c>
      <c r="R7" s="137">
        <v>20000</v>
      </c>
      <c r="S7" s="85">
        <f>Q7+R7</f>
        <v>1020000</v>
      </c>
      <c r="T7" s="28">
        <v>1019929</v>
      </c>
      <c r="U7" s="28">
        <v>150000</v>
      </c>
      <c r="V7" s="28">
        <v>5000</v>
      </c>
      <c r="W7" s="28">
        <f>SUM(U7:V7)</f>
        <v>155000</v>
      </c>
      <c r="X7" s="19">
        <v>136231.16</v>
      </c>
      <c r="Y7" s="28">
        <v>575000</v>
      </c>
      <c r="Z7" s="28">
        <v>25000</v>
      </c>
      <c r="AA7" s="28">
        <f>SUM(Y7:Z7)</f>
        <v>600000</v>
      </c>
      <c r="AB7" s="19">
        <v>573189.96</v>
      </c>
      <c r="AC7" s="28">
        <v>33721</v>
      </c>
      <c r="AD7" s="90">
        <v>3000</v>
      </c>
      <c r="AE7" s="100">
        <f>SUM(AC7:AD7)</f>
        <v>36721</v>
      </c>
      <c r="AF7" s="91">
        <v>630826.81000000006</v>
      </c>
      <c r="AG7" s="142">
        <v>350000</v>
      </c>
      <c r="AH7" s="142">
        <v>80000</v>
      </c>
      <c r="AI7" s="143">
        <f>AG7+AH7</f>
        <v>430000</v>
      </c>
      <c r="AJ7" s="91">
        <v>584280</v>
      </c>
      <c r="AK7" s="107">
        <v>570000</v>
      </c>
      <c r="AL7" s="107">
        <v>131000</v>
      </c>
      <c r="AM7" s="108">
        <f t="shared" ref="AM7:AM43" si="1">SUM(AK7:AL7)</f>
        <v>701000</v>
      </c>
      <c r="AN7" s="114">
        <v>691262.35</v>
      </c>
      <c r="AO7" s="124"/>
      <c r="AP7" s="124">
        <v>89000</v>
      </c>
      <c r="AQ7" s="124">
        <f t="shared" ref="AQ7:AQ8" si="2">SUM(AO7:AP7)</f>
        <v>89000</v>
      </c>
      <c r="AR7" s="114">
        <v>91494</v>
      </c>
      <c r="AS7" s="124">
        <f t="shared" ref="AS7:AS27" si="3">AO7+AK7+AG7+AC7+Y7+U7+Q7+M7+I7+D7</f>
        <v>3357499</v>
      </c>
      <c r="AT7" s="124">
        <f t="shared" ref="AT7:AT27" si="4">AP7+AL7+AH7+AD7+Z7+V7+R7+N7+J7+E7</f>
        <v>450300</v>
      </c>
      <c r="AU7" s="124">
        <f>AS7+AT7</f>
        <v>3807799</v>
      </c>
      <c r="AV7" s="157">
        <f t="shared" ref="AV7:AV43" si="5">G7+L7+P7+T7+X7+AB7+AF7+AJ7+AN7+AR7</f>
        <v>5104141.82</v>
      </c>
      <c r="AW7" s="114">
        <v>4683410</v>
      </c>
    </row>
    <row r="8" spans="1:51" ht="15" customHeight="1" thickBot="1" x14ac:dyDescent="0.3">
      <c r="A8" s="15">
        <v>502</v>
      </c>
      <c r="B8" s="16" t="s">
        <v>15</v>
      </c>
      <c r="C8" s="17">
        <v>2</v>
      </c>
      <c r="D8" s="18">
        <v>570000</v>
      </c>
      <c r="E8" s="18">
        <v>30000</v>
      </c>
      <c r="F8" s="18">
        <f>SUM(D8:E8)</f>
        <v>600000</v>
      </c>
      <c r="G8" s="19">
        <v>640509.49</v>
      </c>
      <c r="H8" s="20">
        <f>G8-'[1]Náklady Výnosy 2008 €'!F6</f>
        <v>-6245104.2655599806</v>
      </c>
      <c r="I8" s="217">
        <v>349440</v>
      </c>
      <c r="J8" s="85">
        <v>21560</v>
      </c>
      <c r="K8" s="85">
        <f t="shared" ref="K8:K43" si="6">I8+J8</f>
        <v>371000</v>
      </c>
      <c r="L8" s="169">
        <v>372368.71</v>
      </c>
      <c r="M8" s="224">
        <v>700000</v>
      </c>
      <c r="N8" s="138">
        <v>50000</v>
      </c>
      <c r="O8" s="138">
        <f t="shared" si="0"/>
        <v>750000</v>
      </c>
      <c r="P8" s="170">
        <v>862446.88</v>
      </c>
      <c r="Q8" s="233">
        <v>650000</v>
      </c>
      <c r="R8" s="137">
        <v>0</v>
      </c>
      <c r="S8" s="85">
        <f t="shared" ref="S8:S45" si="7">Q8+R8</f>
        <v>650000</v>
      </c>
      <c r="T8" s="28">
        <v>644602</v>
      </c>
      <c r="U8" s="28">
        <v>150000</v>
      </c>
      <c r="V8" s="28">
        <v>0</v>
      </c>
      <c r="W8" s="28">
        <f>SUM(U8:V8)</f>
        <v>150000</v>
      </c>
      <c r="X8" s="19">
        <v>138681.92000000001</v>
      </c>
      <c r="Y8" s="28">
        <v>651000</v>
      </c>
      <c r="Z8" s="28">
        <v>13000</v>
      </c>
      <c r="AA8" s="28">
        <f>SUM(Y8:Z8)</f>
        <v>664000</v>
      </c>
      <c r="AB8" s="19">
        <v>668616.44999999995</v>
      </c>
      <c r="AC8" s="28">
        <f>239558-126507</f>
        <v>113051</v>
      </c>
      <c r="AD8" s="90"/>
      <c r="AE8" s="100">
        <f>SUM(AC8:AD8)</f>
        <v>113051</v>
      </c>
      <c r="AF8" s="91">
        <v>166111.53</v>
      </c>
      <c r="AG8" s="205">
        <f>384000+87000</f>
        <v>471000</v>
      </c>
      <c r="AH8" s="144"/>
      <c r="AI8" s="143">
        <f t="shared" ref="AI8:AI19" si="8">AG8+AH8</f>
        <v>471000</v>
      </c>
      <c r="AJ8" s="91">
        <v>465540</v>
      </c>
      <c r="AK8" s="107">
        <v>1790000</v>
      </c>
      <c r="AL8" s="107">
        <v>250000</v>
      </c>
      <c r="AM8" s="108">
        <f t="shared" si="1"/>
        <v>2040000</v>
      </c>
      <c r="AN8" s="114">
        <v>2062424.39</v>
      </c>
      <c r="AO8" s="124"/>
      <c r="AP8" s="124">
        <v>240000</v>
      </c>
      <c r="AQ8" s="124">
        <f t="shared" si="2"/>
        <v>240000</v>
      </c>
      <c r="AR8" s="114">
        <v>239825</v>
      </c>
      <c r="AS8" s="124">
        <f t="shared" si="3"/>
        <v>5444491</v>
      </c>
      <c r="AT8" s="124">
        <f t="shared" si="4"/>
        <v>604560</v>
      </c>
      <c r="AU8" s="124">
        <f t="shared" ref="AU8:AU45" si="9">AS8+AT8</f>
        <v>6049051</v>
      </c>
      <c r="AV8" s="157">
        <f t="shared" si="5"/>
        <v>6261126.3700000001</v>
      </c>
      <c r="AW8" s="114">
        <v>6834733</v>
      </c>
    </row>
    <row r="9" spans="1:51" s="22" customFormat="1" ht="15" customHeight="1" thickBot="1" x14ac:dyDescent="0.3">
      <c r="A9" s="15">
        <v>504</v>
      </c>
      <c r="B9" s="16" t="s">
        <v>16</v>
      </c>
      <c r="C9" s="17">
        <v>3</v>
      </c>
      <c r="D9" s="18">
        <v>0</v>
      </c>
      <c r="E9" s="18">
        <v>0</v>
      </c>
      <c r="F9" s="18">
        <f>SUM(D9:E9)</f>
        <v>0</v>
      </c>
      <c r="G9" s="19">
        <v>0</v>
      </c>
      <c r="H9" s="20">
        <f>G9-'[1]Náklady Výnosy 2008 €'!F7</f>
        <v>-214432.71592644227</v>
      </c>
      <c r="I9" s="217">
        <v>0</v>
      </c>
      <c r="J9" s="85">
        <v>0</v>
      </c>
      <c r="K9" s="85">
        <f t="shared" si="6"/>
        <v>0</v>
      </c>
      <c r="L9" s="169">
        <v>0</v>
      </c>
      <c r="M9" s="223"/>
      <c r="N9" s="138"/>
      <c r="O9" s="138">
        <f t="shared" ref="O9:O35" si="10">SUM(M9:N9)</f>
        <v>0</v>
      </c>
      <c r="P9" s="170">
        <v>0</v>
      </c>
      <c r="Q9" s="233">
        <v>0</v>
      </c>
      <c r="R9" s="137">
        <v>0</v>
      </c>
      <c r="S9" s="85">
        <f t="shared" si="7"/>
        <v>0</v>
      </c>
      <c r="T9" s="28"/>
      <c r="U9" s="28">
        <v>0</v>
      </c>
      <c r="V9" s="28">
        <v>0</v>
      </c>
      <c r="W9" s="28">
        <f>SUM(U9:V9)</f>
        <v>0</v>
      </c>
      <c r="X9" s="19">
        <v>0</v>
      </c>
      <c r="Y9" s="28">
        <v>30000</v>
      </c>
      <c r="Z9" s="28"/>
      <c r="AA9" s="28">
        <f>SUM(Y9:Z9)</f>
        <v>30000</v>
      </c>
      <c r="AB9" s="19">
        <v>26574.18</v>
      </c>
      <c r="AC9" s="28"/>
      <c r="AD9" s="90"/>
      <c r="AE9" s="100">
        <f>SUM(AC9:AD9)</f>
        <v>0</v>
      </c>
      <c r="AF9" s="91"/>
      <c r="AG9" s="144"/>
      <c r="AH9" s="144"/>
      <c r="AI9" s="143">
        <f t="shared" si="8"/>
        <v>0</v>
      </c>
      <c r="AJ9" s="91">
        <v>86.64</v>
      </c>
      <c r="AK9" s="107">
        <v>0</v>
      </c>
      <c r="AL9" s="107">
        <v>2500</v>
      </c>
      <c r="AM9" s="108">
        <f t="shared" si="1"/>
        <v>2500</v>
      </c>
      <c r="AN9" s="114">
        <v>2581.89</v>
      </c>
      <c r="AO9" s="124"/>
      <c r="AP9" s="124">
        <v>0</v>
      </c>
      <c r="AR9" s="114"/>
      <c r="AS9" s="124">
        <f t="shared" si="3"/>
        <v>30000</v>
      </c>
      <c r="AT9" s="124">
        <f t="shared" si="4"/>
        <v>2500</v>
      </c>
      <c r="AU9" s="124">
        <f t="shared" si="9"/>
        <v>32500</v>
      </c>
      <c r="AV9" s="157">
        <f t="shared" si="5"/>
        <v>29242.71</v>
      </c>
      <c r="AW9" s="114">
        <v>25900</v>
      </c>
      <c r="AY9" s="213"/>
    </row>
    <row r="10" spans="1:51" ht="15" customHeight="1" thickBot="1" x14ac:dyDescent="0.3">
      <c r="A10" s="15">
        <v>511</v>
      </c>
      <c r="B10" s="16" t="s">
        <v>17</v>
      </c>
      <c r="C10" s="17">
        <v>4</v>
      </c>
      <c r="D10" s="18">
        <v>150000</v>
      </c>
      <c r="E10" s="18">
        <v>31000</v>
      </c>
      <c r="F10" s="18">
        <f>SUM(D10:E10)</f>
        <v>181000</v>
      </c>
      <c r="G10" s="19">
        <v>172315.72</v>
      </c>
      <c r="H10" s="20">
        <f>G10-'[1]Náklady Výnosy 2008 €'!F8</f>
        <v>-2558846.7310389695</v>
      </c>
      <c r="I10" s="217">
        <v>40000</v>
      </c>
      <c r="J10" s="85">
        <v>1000</v>
      </c>
      <c r="K10" s="85">
        <f t="shared" si="6"/>
        <v>41000</v>
      </c>
      <c r="L10" s="169">
        <v>44346.71</v>
      </c>
      <c r="M10" s="223">
        <v>30000</v>
      </c>
      <c r="N10" s="138"/>
      <c r="O10" s="138">
        <f t="shared" ref="O10:O17" si="11">SUM(M10:N10)</f>
        <v>30000</v>
      </c>
      <c r="P10" s="170">
        <v>321019.37</v>
      </c>
      <c r="Q10" s="233">
        <v>600000</v>
      </c>
      <c r="R10" s="137">
        <v>1000</v>
      </c>
      <c r="S10" s="85">
        <f t="shared" si="7"/>
        <v>601000</v>
      </c>
      <c r="T10" s="28">
        <v>312162</v>
      </c>
      <c r="U10" s="28">
        <v>200000</v>
      </c>
      <c r="V10" s="28">
        <v>1000</v>
      </c>
      <c r="W10" s="28">
        <f>SUM(U10:V10)</f>
        <v>201000</v>
      </c>
      <c r="X10" s="19">
        <v>88224.53</v>
      </c>
      <c r="Y10" s="28">
        <v>373460</v>
      </c>
      <c r="Z10" s="28">
        <v>14000</v>
      </c>
      <c r="AA10" s="28">
        <f>SUM(Y10:Z10)</f>
        <v>387460</v>
      </c>
      <c r="AB10" s="19">
        <v>415712.84</v>
      </c>
      <c r="AC10" s="28">
        <v>8979</v>
      </c>
      <c r="AD10" s="90">
        <v>998</v>
      </c>
      <c r="AE10" s="100">
        <f>SUM(AC10:AD10)</f>
        <v>9977</v>
      </c>
      <c r="AF10" s="91">
        <v>16634.79</v>
      </c>
      <c r="AG10" s="205">
        <v>1246862</v>
      </c>
      <c r="AH10" s="144"/>
      <c r="AI10" s="143">
        <f t="shared" si="8"/>
        <v>1246862</v>
      </c>
      <c r="AJ10" s="91">
        <v>488127</v>
      </c>
      <c r="AK10" s="107">
        <v>2307174</v>
      </c>
      <c r="AL10" s="107">
        <v>234300</v>
      </c>
      <c r="AM10" s="108">
        <f t="shared" si="1"/>
        <v>2541474</v>
      </c>
      <c r="AN10" s="114">
        <v>913646.2</v>
      </c>
      <c r="AO10" s="124"/>
      <c r="AP10" s="124">
        <v>13500</v>
      </c>
      <c r="AQ10" s="124">
        <f t="shared" ref="AQ10:AQ42" si="12">SUM(AO10:AP10)</f>
        <v>13500</v>
      </c>
      <c r="AR10" s="114">
        <v>13791</v>
      </c>
      <c r="AS10" s="124">
        <f t="shared" si="3"/>
        <v>4956475</v>
      </c>
      <c r="AT10" s="124">
        <f t="shared" si="4"/>
        <v>296798</v>
      </c>
      <c r="AU10" s="124">
        <f t="shared" si="9"/>
        <v>5253273</v>
      </c>
      <c r="AV10" s="157">
        <f t="shared" si="5"/>
        <v>2785980.16</v>
      </c>
      <c r="AW10" s="114">
        <v>4226312</v>
      </c>
      <c r="AY10" s="21"/>
    </row>
    <row r="11" spans="1:51" ht="15" customHeight="1" thickBot="1" x14ac:dyDescent="0.3">
      <c r="A11" s="15">
        <v>512</v>
      </c>
      <c r="B11" s="16" t="s">
        <v>18</v>
      </c>
      <c r="C11" s="17">
        <v>5</v>
      </c>
      <c r="D11" s="18">
        <v>210000</v>
      </c>
      <c r="E11" s="18">
        <v>52000</v>
      </c>
      <c r="F11" s="18">
        <f t="shared" ref="F11:F39" si="13">SUM(D11:E11)</f>
        <v>262000</v>
      </c>
      <c r="G11" s="19">
        <v>280871.67</v>
      </c>
      <c r="H11" s="20">
        <f>G11-'[1]Náklady Výnosy 2008 €'!F9</f>
        <v>-1417827.1283801368</v>
      </c>
      <c r="I11" s="217">
        <v>50000</v>
      </c>
      <c r="J11" s="85">
        <v>1200</v>
      </c>
      <c r="K11" s="85">
        <f t="shared" si="6"/>
        <v>51200</v>
      </c>
      <c r="L11" s="169">
        <v>73166.240000000005</v>
      </c>
      <c r="M11" s="223">
        <v>150000</v>
      </c>
      <c r="N11" s="138">
        <v>8000</v>
      </c>
      <c r="O11" s="138">
        <f t="shared" si="11"/>
        <v>158000</v>
      </c>
      <c r="P11" s="170">
        <v>367954.8</v>
      </c>
      <c r="Q11" s="233">
        <v>250000</v>
      </c>
      <c r="R11" s="137">
        <v>0</v>
      </c>
      <c r="S11" s="85">
        <f t="shared" si="7"/>
        <v>250000</v>
      </c>
      <c r="T11" s="28">
        <v>210663</v>
      </c>
      <c r="U11" s="28">
        <v>45000</v>
      </c>
      <c r="V11" s="28">
        <v>1000</v>
      </c>
      <c r="W11" s="28">
        <f t="shared" ref="W11:W39" si="14">SUM(U11:V11)</f>
        <v>46000</v>
      </c>
      <c r="X11" s="19">
        <v>45639.69</v>
      </c>
      <c r="Y11" s="28">
        <v>560000</v>
      </c>
      <c r="Z11" s="28">
        <v>7400</v>
      </c>
      <c r="AA11" s="28">
        <f t="shared" ref="AA11:AA39" si="15">SUM(Y11:Z11)</f>
        <v>567400</v>
      </c>
      <c r="AB11" s="19">
        <v>266321.15000000002</v>
      </c>
      <c r="AC11" s="28">
        <v>56287</v>
      </c>
      <c r="AD11" s="90"/>
      <c r="AE11" s="100">
        <f t="shared" ref="AE11:AE36" si="16">SUM(AC11:AD11)</f>
        <v>56287</v>
      </c>
      <c r="AF11" s="91">
        <v>25174.73</v>
      </c>
      <c r="AG11" s="144">
        <v>38000</v>
      </c>
      <c r="AH11" s="144">
        <v>6000</v>
      </c>
      <c r="AI11" s="143">
        <f t="shared" si="8"/>
        <v>44000</v>
      </c>
      <c r="AJ11" s="91">
        <v>72773</v>
      </c>
      <c r="AK11" s="109">
        <v>500</v>
      </c>
      <c r="AL11" s="107">
        <v>100</v>
      </c>
      <c r="AM11" s="108">
        <f t="shared" si="1"/>
        <v>600</v>
      </c>
      <c r="AN11" s="114">
        <v>457.62</v>
      </c>
      <c r="AO11" s="124"/>
      <c r="AP11" s="124">
        <v>60</v>
      </c>
      <c r="AQ11" s="124">
        <f t="shared" si="12"/>
        <v>60</v>
      </c>
      <c r="AR11" s="114">
        <v>92</v>
      </c>
      <c r="AS11" s="124">
        <f t="shared" si="3"/>
        <v>1359787</v>
      </c>
      <c r="AT11" s="124">
        <f t="shared" si="4"/>
        <v>75760</v>
      </c>
      <c r="AU11" s="124">
        <f t="shared" si="9"/>
        <v>1435547</v>
      </c>
      <c r="AV11" s="124">
        <f t="shared" si="5"/>
        <v>1343113.9</v>
      </c>
      <c r="AW11" s="114">
        <v>1155358</v>
      </c>
      <c r="AY11" s="21"/>
    </row>
    <row r="12" spans="1:51" ht="15" customHeight="1" thickBot="1" x14ac:dyDescent="0.3">
      <c r="A12" s="15">
        <v>513</v>
      </c>
      <c r="B12" s="16" t="s">
        <v>19</v>
      </c>
      <c r="C12" s="17">
        <v>6</v>
      </c>
      <c r="D12" s="23">
        <v>20000</v>
      </c>
      <c r="E12" s="18">
        <v>1900</v>
      </c>
      <c r="F12" s="18">
        <f t="shared" si="13"/>
        <v>21900</v>
      </c>
      <c r="G12" s="19">
        <v>21654.37</v>
      </c>
      <c r="H12" s="20">
        <f>G12-'[1]Náklady Výnosy 2008 €'!F10</f>
        <v>-65280.503531169088</v>
      </c>
      <c r="I12" s="217">
        <v>3000</v>
      </c>
      <c r="J12" s="85">
        <v>2000</v>
      </c>
      <c r="K12" s="85">
        <f t="shared" si="6"/>
        <v>5000</v>
      </c>
      <c r="L12" s="169">
        <v>5168.3</v>
      </c>
      <c r="M12" s="223">
        <v>10000</v>
      </c>
      <c r="N12" s="138">
        <v>2000</v>
      </c>
      <c r="O12" s="138">
        <f t="shared" si="11"/>
        <v>12000</v>
      </c>
      <c r="P12" s="170">
        <v>15231.06</v>
      </c>
      <c r="Q12" s="233">
        <v>1946.82</v>
      </c>
      <c r="R12" s="137">
        <v>0</v>
      </c>
      <c r="S12" s="85">
        <f t="shared" si="7"/>
        <v>1946.82</v>
      </c>
      <c r="T12" s="28">
        <v>1947</v>
      </c>
      <c r="U12" s="28">
        <v>1500</v>
      </c>
      <c r="V12" s="28">
        <v>500</v>
      </c>
      <c r="W12" s="28">
        <f t="shared" si="14"/>
        <v>2000</v>
      </c>
      <c r="X12" s="19">
        <v>651.29</v>
      </c>
      <c r="Y12" s="28"/>
      <c r="Z12" s="28"/>
      <c r="AA12" s="28">
        <f t="shared" si="15"/>
        <v>0</v>
      </c>
      <c r="AB12" s="19">
        <v>7449.25</v>
      </c>
      <c r="AC12" s="28">
        <v>3113</v>
      </c>
      <c r="AD12" s="90">
        <v>6000</v>
      </c>
      <c r="AE12" s="100">
        <f t="shared" si="16"/>
        <v>9113</v>
      </c>
      <c r="AF12" s="91">
        <v>5141.3900000000003</v>
      </c>
      <c r="AG12" s="144">
        <v>32000</v>
      </c>
      <c r="AH12" s="144"/>
      <c r="AI12" s="143">
        <f t="shared" si="8"/>
        <v>32000</v>
      </c>
      <c r="AJ12" s="91">
        <v>45011</v>
      </c>
      <c r="AK12" s="107">
        <v>2500</v>
      </c>
      <c r="AL12" s="107">
        <v>300</v>
      </c>
      <c r="AM12" s="108">
        <f t="shared" si="1"/>
        <v>2800</v>
      </c>
      <c r="AN12" s="114">
        <v>2840.5</v>
      </c>
      <c r="AO12" s="124"/>
      <c r="AP12" s="124">
        <v>150</v>
      </c>
      <c r="AQ12" s="124">
        <f t="shared" si="12"/>
        <v>150</v>
      </c>
      <c r="AR12" s="114">
        <v>113</v>
      </c>
      <c r="AS12" s="124">
        <f t="shared" si="3"/>
        <v>74059.820000000007</v>
      </c>
      <c r="AT12" s="124">
        <f t="shared" si="4"/>
        <v>12850</v>
      </c>
      <c r="AU12" s="124">
        <f t="shared" si="9"/>
        <v>86909.82</v>
      </c>
      <c r="AV12" s="124">
        <f t="shared" si="5"/>
        <v>105207.16</v>
      </c>
      <c r="AW12" s="114">
        <v>85170</v>
      </c>
    </row>
    <row r="13" spans="1:51" ht="15" customHeight="1" thickBot="1" x14ac:dyDescent="0.3">
      <c r="A13" s="15">
        <v>518</v>
      </c>
      <c r="B13" s="16" t="s">
        <v>20</v>
      </c>
      <c r="C13" s="17">
        <v>7</v>
      </c>
      <c r="D13" s="23">
        <v>530000</v>
      </c>
      <c r="E13" s="18">
        <v>120000</v>
      </c>
      <c r="F13" s="18">
        <f t="shared" si="13"/>
        <v>650000</v>
      </c>
      <c r="G13" s="19">
        <v>854018.55</v>
      </c>
      <c r="H13" s="20">
        <f>G13-'[1]Náklady Výnosy 2008 €'!F11</f>
        <v>-6329178.6882659495</v>
      </c>
      <c r="I13" s="217">
        <v>190000</v>
      </c>
      <c r="J13" s="85">
        <v>34000</v>
      </c>
      <c r="K13" s="85">
        <f t="shared" si="6"/>
        <v>224000</v>
      </c>
      <c r="L13" s="169">
        <v>691641.49</v>
      </c>
      <c r="M13" s="223">
        <v>414699</v>
      </c>
      <c r="N13" s="138">
        <v>35000</v>
      </c>
      <c r="O13" s="138">
        <f t="shared" si="11"/>
        <v>449699</v>
      </c>
      <c r="P13" s="170">
        <v>1005513.11</v>
      </c>
      <c r="Q13" s="233">
        <v>1200000</v>
      </c>
      <c r="R13" s="137">
        <v>250000</v>
      </c>
      <c r="S13" s="85">
        <f t="shared" si="7"/>
        <v>1450000</v>
      </c>
      <c r="T13" s="28">
        <v>1125853</v>
      </c>
      <c r="U13" s="28">
        <v>255000</v>
      </c>
      <c r="V13" s="28">
        <v>15000</v>
      </c>
      <c r="W13" s="28">
        <f t="shared" si="14"/>
        <v>270000</v>
      </c>
      <c r="X13" s="19">
        <v>268568.74</v>
      </c>
      <c r="Y13" s="28">
        <v>1205000</v>
      </c>
      <c r="Z13" s="28">
        <v>25500</v>
      </c>
      <c r="AA13" s="28">
        <f t="shared" si="15"/>
        <v>1230500</v>
      </c>
      <c r="AB13" s="19">
        <v>842262.69</v>
      </c>
      <c r="AC13" s="28">
        <v>128565</v>
      </c>
      <c r="AD13" s="90"/>
      <c r="AE13" s="100">
        <f t="shared" si="16"/>
        <v>128565</v>
      </c>
      <c r="AF13" s="91">
        <v>197428.51</v>
      </c>
      <c r="AG13" s="144">
        <v>700000</v>
      </c>
      <c r="AH13" s="144"/>
      <c r="AI13" s="143">
        <f t="shared" si="8"/>
        <v>700000</v>
      </c>
      <c r="AJ13" s="91">
        <v>1094496</v>
      </c>
      <c r="AK13" s="107">
        <v>525000</v>
      </c>
      <c r="AL13" s="107">
        <v>100000</v>
      </c>
      <c r="AM13" s="108">
        <f t="shared" si="1"/>
        <v>625000</v>
      </c>
      <c r="AN13" s="114">
        <v>615912.05000000005</v>
      </c>
      <c r="AO13" s="124"/>
      <c r="AP13" s="124">
        <v>20000</v>
      </c>
      <c r="AQ13" s="124">
        <f t="shared" si="12"/>
        <v>20000</v>
      </c>
      <c r="AR13" s="4">
        <v>35986</v>
      </c>
      <c r="AS13" s="124">
        <f t="shared" si="3"/>
        <v>5148264</v>
      </c>
      <c r="AT13" s="124">
        <f t="shared" si="4"/>
        <v>599500</v>
      </c>
      <c r="AU13" s="124">
        <f t="shared" si="9"/>
        <v>5747764</v>
      </c>
      <c r="AV13" s="124">
        <f t="shared" si="5"/>
        <v>6731680.1399999997</v>
      </c>
      <c r="AW13" s="4">
        <v>5174642</v>
      </c>
    </row>
    <row r="14" spans="1:51" ht="15" customHeight="1" thickBot="1" x14ac:dyDescent="0.3">
      <c r="A14" s="15">
        <v>521</v>
      </c>
      <c r="B14" s="16" t="s">
        <v>21</v>
      </c>
      <c r="C14" s="17">
        <v>8</v>
      </c>
      <c r="D14" s="23">
        <v>6000000</v>
      </c>
      <c r="E14" s="18">
        <v>410000</v>
      </c>
      <c r="F14" s="18">
        <f t="shared" si="13"/>
        <v>6410000</v>
      </c>
      <c r="G14" s="19">
        <v>6554343.1799999997</v>
      </c>
      <c r="H14" s="20">
        <f>G14-'[1]Náklady Výnosy 2008 €'!F12</f>
        <v>-28661450.48660028</v>
      </c>
      <c r="I14" s="217">
        <v>3235600</v>
      </c>
      <c r="J14" s="85">
        <v>89000</v>
      </c>
      <c r="K14" s="85">
        <f t="shared" si="6"/>
        <v>3324600</v>
      </c>
      <c r="L14" s="169">
        <v>3324375.23</v>
      </c>
      <c r="M14" s="223">
        <v>4890862</v>
      </c>
      <c r="N14" s="138">
        <v>200000</v>
      </c>
      <c r="O14" s="138">
        <f t="shared" si="11"/>
        <v>5090862</v>
      </c>
      <c r="P14" s="170">
        <v>6807326.8899999997</v>
      </c>
      <c r="Q14" s="233">
        <v>5300000</v>
      </c>
      <c r="R14" s="137">
        <v>150000</v>
      </c>
      <c r="S14" s="85">
        <f t="shared" si="7"/>
        <v>5450000</v>
      </c>
      <c r="T14" s="28">
        <v>5314820</v>
      </c>
      <c r="U14" s="28">
        <v>2450000</v>
      </c>
      <c r="V14" s="28">
        <v>2000</v>
      </c>
      <c r="W14" s="28">
        <f t="shared" si="14"/>
        <v>2452000</v>
      </c>
      <c r="X14" s="19">
        <v>2514449.69</v>
      </c>
      <c r="Y14" s="28">
        <v>5336799</v>
      </c>
      <c r="Z14" s="28">
        <v>120000</v>
      </c>
      <c r="AA14" s="28">
        <f t="shared" si="15"/>
        <v>5456799</v>
      </c>
      <c r="AB14" s="19">
        <v>5559330.6100000003</v>
      </c>
      <c r="AC14" s="28">
        <v>1242141</v>
      </c>
      <c r="AD14" s="90">
        <v>10404</v>
      </c>
      <c r="AE14" s="100">
        <f t="shared" si="16"/>
        <v>1252545</v>
      </c>
      <c r="AF14" s="91">
        <v>1440132.82</v>
      </c>
      <c r="AG14" s="237">
        <v>3425000</v>
      </c>
      <c r="AH14" s="145">
        <v>900000</v>
      </c>
      <c r="AI14" s="143">
        <f t="shared" si="8"/>
        <v>4325000</v>
      </c>
      <c r="AJ14" s="91">
        <v>4302368</v>
      </c>
      <c r="AK14" s="107">
        <v>1455000</v>
      </c>
      <c r="AL14" s="107">
        <v>300000</v>
      </c>
      <c r="AM14" s="108">
        <f t="shared" si="1"/>
        <v>1755000</v>
      </c>
      <c r="AN14" s="114">
        <v>1658347.84</v>
      </c>
      <c r="AO14" s="124"/>
      <c r="AP14" s="124">
        <v>198000</v>
      </c>
      <c r="AQ14" s="124">
        <f t="shared" si="12"/>
        <v>198000</v>
      </c>
      <c r="AR14" s="114">
        <v>200543</v>
      </c>
      <c r="AS14" s="124">
        <f t="shared" si="3"/>
        <v>33335402</v>
      </c>
      <c r="AT14" s="124">
        <f t="shared" si="4"/>
        <v>2379404</v>
      </c>
      <c r="AU14" s="124">
        <f t="shared" si="9"/>
        <v>35714806</v>
      </c>
      <c r="AV14" s="124">
        <f t="shared" si="5"/>
        <v>37676037.260000005</v>
      </c>
      <c r="AW14" s="114">
        <v>37343753</v>
      </c>
    </row>
    <row r="15" spans="1:51" ht="15" customHeight="1" thickBot="1" x14ac:dyDescent="0.3">
      <c r="A15" s="15">
        <v>524</v>
      </c>
      <c r="B15" s="16" t="s">
        <v>22</v>
      </c>
      <c r="C15" s="17">
        <v>9</v>
      </c>
      <c r="D15" s="23">
        <f>SUM(D14*0.352)</f>
        <v>2112000</v>
      </c>
      <c r="E15" s="23">
        <v>124320</v>
      </c>
      <c r="F15" s="23">
        <v>2236320</v>
      </c>
      <c r="G15" s="19">
        <v>2190422.7000000002</v>
      </c>
      <c r="H15" s="20">
        <f>G15-'[1]Náklady Výnosy 2008 €'!F13</f>
        <v>-8079941.7692292361</v>
      </c>
      <c r="I15" s="217">
        <v>1103740</v>
      </c>
      <c r="J15" s="85">
        <v>31150</v>
      </c>
      <c r="K15" s="85">
        <f t="shared" si="6"/>
        <v>1134890</v>
      </c>
      <c r="L15" s="169">
        <v>1134740.72</v>
      </c>
      <c r="M15" s="223">
        <v>1686583</v>
      </c>
      <c r="N15" s="138">
        <v>70400</v>
      </c>
      <c r="O15" s="138">
        <f t="shared" si="11"/>
        <v>1756983</v>
      </c>
      <c r="P15" s="170">
        <v>2293216.06</v>
      </c>
      <c r="Q15" s="233">
        <v>1980000</v>
      </c>
      <c r="R15" s="137">
        <v>43000</v>
      </c>
      <c r="S15" s="85">
        <f t="shared" si="7"/>
        <v>2023000</v>
      </c>
      <c r="T15" s="28">
        <v>1821295</v>
      </c>
      <c r="U15" s="28">
        <v>862000</v>
      </c>
      <c r="V15" s="28">
        <v>704</v>
      </c>
      <c r="W15" s="28">
        <f t="shared" si="14"/>
        <v>862704</v>
      </c>
      <c r="X15" s="19">
        <v>864607.93</v>
      </c>
      <c r="Y15" s="28">
        <v>1831520</v>
      </c>
      <c r="Z15" s="28">
        <v>42240</v>
      </c>
      <c r="AA15" s="28">
        <f t="shared" si="15"/>
        <v>1873760</v>
      </c>
      <c r="AB15" s="19">
        <v>1913272.5</v>
      </c>
      <c r="AC15" s="28">
        <v>436043</v>
      </c>
      <c r="AD15" s="90">
        <v>3658</v>
      </c>
      <c r="AE15" s="100">
        <f t="shared" si="16"/>
        <v>439701</v>
      </c>
      <c r="AF15" s="91">
        <v>494838.85</v>
      </c>
      <c r="AG15" s="237">
        <f>AG14*35.2%</f>
        <v>1205600.0000000002</v>
      </c>
      <c r="AH15" s="145">
        <f>AH14*35.2%</f>
        <v>316800.00000000006</v>
      </c>
      <c r="AI15" s="143">
        <f t="shared" si="8"/>
        <v>1522400.0000000002</v>
      </c>
      <c r="AJ15" s="91">
        <v>1422905</v>
      </c>
      <c r="AK15" s="107">
        <v>511000</v>
      </c>
      <c r="AL15" s="107">
        <f>AL14*0.352</f>
        <v>105600</v>
      </c>
      <c r="AM15" s="108">
        <f t="shared" si="1"/>
        <v>616600</v>
      </c>
      <c r="AN15" s="114">
        <v>576147.43999999994</v>
      </c>
      <c r="AO15" s="124"/>
      <c r="AP15" s="124">
        <v>69700</v>
      </c>
      <c r="AQ15" s="124">
        <f t="shared" si="12"/>
        <v>69700</v>
      </c>
      <c r="AR15" s="114">
        <v>69981</v>
      </c>
      <c r="AS15" s="124">
        <f t="shared" si="3"/>
        <v>11728486</v>
      </c>
      <c r="AT15" s="124">
        <f t="shared" si="4"/>
        <v>807572</v>
      </c>
      <c r="AU15" s="124">
        <f t="shared" si="9"/>
        <v>12536058</v>
      </c>
      <c r="AV15" s="124">
        <f t="shared" si="5"/>
        <v>12781427.199999999</v>
      </c>
      <c r="AW15" s="114">
        <v>12705730</v>
      </c>
    </row>
    <row r="16" spans="1:51" s="22" customFormat="1" ht="15" customHeight="1" thickBot="1" x14ac:dyDescent="0.3">
      <c r="A16" s="15">
        <v>525</v>
      </c>
      <c r="B16" s="16" t="s">
        <v>23</v>
      </c>
      <c r="C16" s="17">
        <v>10</v>
      </c>
      <c r="D16" s="23">
        <v>49000</v>
      </c>
      <c r="E16" s="18">
        <v>460</v>
      </c>
      <c r="F16" s="18">
        <f t="shared" si="13"/>
        <v>49460</v>
      </c>
      <c r="G16" s="19">
        <v>49501.51</v>
      </c>
      <c r="H16" s="20">
        <f>G16-'[1]Náklady Výnosy 2008 €'!F14</f>
        <v>-240912.08622917079</v>
      </c>
      <c r="I16" s="217">
        <v>19600</v>
      </c>
      <c r="J16" s="85">
        <v>0</v>
      </c>
      <c r="K16" s="85">
        <f t="shared" si="6"/>
        <v>19600</v>
      </c>
      <c r="L16" s="169">
        <v>19622.46</v>
      </c>
      <c r="M16" s="223">
        <v>35000</v>
      </c>
      <c r="N16" s="138"/>
      <c r="O16" s="138">
        <f t="shared" si="11"/>
        <v>35000</v>
      </c>
      <c r="P16" s="170">
        <v>39739.379999999997</v>
      </c>
      <c r="Q16" s="233">
        <v>32000</v>
      </c>
      <c r="R16" s="137">
        <v>0</v>
      </c>
      <c r="S16" s="85">
        <f t="shared" si="7"/>
        <v>32000</v>
      </c>
      <c r="T16" s="28">
        <v>31693</v>
      </c>
      <c r="U16" s="28">
        <v>10000</v>
      </c>
      <c r="V16" s="28">
        <v>0</v>
      </c>
      <c r="W16" s="28">
        <f t="shared" si="14"/>
        <v>10000</v>
      </c>
      <c r="X16" s="19">
        <v>12631.87</v>
      </c>
      <c r="Y16" s="28">
        <v>37300</v>
      </c>
      <c r="Z16" s="28"/>
      <c r="AA16" s="28">
        <f t="shared" si="15"/>
        <v>37300</v>
      </c>
      <c r="AB16" s="19">
        <v>40048.47</v>
      </c>
      <c r="AC16" s="28">
        <v>13128</v>
      </c>
      <c r="AD16" s="90">
        <v>100</v>
      </c>
      <c r="AE16" s="100">
        <f t="shared" si="16"/>
        <v>13228</v>
      </c>
      <c r="AF16" s="91">
        <v>13835.92</v>
      </c>
      <c r="AG16" s="237">
        <v>19300</v>
      </c>
      <c r="AH16" s="145">
        <v>1112</v>
      </c>
      <c r="AI16" s="143">
        <f t="shared" si="8"/>
        <v>20412</v>
      </c>
      <c r="AJ16" s="91">
        <v>20374</v>
      </c>
      <c r="AK16" s="107">
        <v>14000</v>
      </c>
      <c r="AL16" s="107">
        <v>1000</v>
      </c>
      <c r="AM16" s="108">
        <f t="shared" si="1"/>
        <v>15000</v>
      </c>
      <c r="AN16" s="114">
        <v>13719.03</v>
      </c>
      <c r="AO16" s="124"/>
      <c r="AP16" s="124">
        <v>1500</v>
      </c>
      <c r="AQ16" s="124">
        <f t="shared" si="12"/>
        <v>1500</v>
      </c>
      <c r="AR16" s="114">
        <v>2011</v>
      </c>
      <c r="AS16" s="124">
        <f t="shared" si="3"/>
        <v>229328</v>
      </c>
      <c r="AT16" s="124">
        <f t="shared" si="4"/>
        <v>4172</v>
      </c>
      <c r="AU16" s="124">
        <f t="shared" si="9"/>
        <v>233500</v>
      </c>
      <c r="AV16" s="124">
        <f t="shared" si="5"/>
        <v>243176.64</v>
      </c>
      <c r="AW16" s="114">
        <v>252250</v>
      </c>
    </row>
    <row r="17" spans="1:51" ht="15" customHeight="1" thickBot="1" x14ac:dyDescent="0.3">
      <c r="A17" s="15">
        <v>527</v>
      </c>
      <c r="B17" s="16" t="s">
        <v>24</v>
      </c>
      <c r="C17" s="17">
        <v>11</v>
      </c>
      <c r="D17" s="23">
        <v>206100</v>
      </c>
      <c r="E17" s="18">
        <v>4600</v>
      </c>
      <c r="F17" s="18">
        <f t="shared" si="13"/>
        <v>210700</v>
      </c>
      <c r="G17" s="19">
        <v>210707.14</v>
      </c>
      <c r="H17" s="20">
        <f>G17-'[1]Náklady Výnosy 2008 €'!F15</f>
        <v>-797458.56404301932</v>
      </c>
      <c r="I17" s="217">
        <v>131190</v>
      </c>
      <c r="J17" s="85">
        <v>3100</v>
      </c>
      <c r="K17" s="85">
        <f t="shared" si="6"/>
        <v>134290</v>
      </c>
      <c r="L17" s="169">
        <v>141964.64000000001</v>
      </c>
      <c r="M17" s="223">
        <v>200000</v>
      </c>
      <c r="N17" s="138"/>
      <c r="O17" s="138">
        <f t="shared" si="11"/>
        <v>200000</v>
      </c>
      <c r="P17" s="170">
        <v>228697.24</v>
      </c>
      <c r="Q17" s="233">
        <v>250000</v>
      </c>
      <c r="R17" s="137">
        <v>0</v>
      </c>
      <c r="S17" s="85">
        <f t="shared" si="7"/>
        <v>250000</v>
      </c>
      <c r="T17" s="28">
        <v>240851</v>
      </c>
      <c r="U17" s="28">
        <v>75000</v>
      </c>
      <c r="V17" s="28">
        <v>10</v>
      </c>
      <c r="W17" s="28">
        <f t="shared" si="14"/>
        <v>75010</v>
      </c>
      <c r="X17" s="19">
        <v>91281.27</v>
      </c>
      <c r="Y17" s="28">
        <v>175000</v>
      </c>
      <c r="Z17" s="28"/>
      <c r="AA17" s="28">
        <f t="shared" si="15"/>
        <v>175000</v>
      </c>
      <c r="AB17" s="19">
        <v>193631.99</v>
      </c>
      <c r="AC17" s="28">
        <v>25920</v>
      </c>
      <c r="AD17" s="90">
        <v>130</v>
      </c>
      <c r="AE17" s="100">
        <f t="shared" si="16"/>
        <v>26050</v>
      </c>
      <c r="AF17" s="91">
        <v>45105.43</v>
      </c>
      <c r="AG17" s="237">
        <v>164000</v>
      </c>
      <c r="AH17" s="145">
        <v>10000</v>
      </c>
      <c r="AI17" s="143">
        <f t="shared" si="8"/>
        <v>174000</v>
      </c>
      <c r="AJ17" s="91">
        <v>145875</v>
      </c>
      <c r="AK17" s="107">
        <v>85000</v>
      </c>
      <c r="AL17" s="107">
        <v>13000</v>
      </c>
      <c r="AM17" s="108">
        <f t="shared" si="1"/>
        <v>98000</v>
      </c>
      <c r="AN17" s="114">
        <v>94331.89</v>
      </c>
      <c r="AO17" s="124"/>
      <c r="AP17" s="124">
        <v>7500</v>
      </c>
      <c r="AQ17" s="124">
        <f t="shared" si="12"/>
        <v>7500</v>
      </c>
      <c r="AR17" s="114">
        <v>6177</v>
      </c>
      <c r="AS17" s="124">
        <f t="shared" si="3"/>
        <v>1312210</v>
      </c>
      <c r="AT17" s="124">
        <f t="shared" si="4"/>
        <v>38340</v>
      </c>
      <c r="AU17" s="124">
        <f t="shared" si="9"/>
        <v>1350550</v>
      </c>
      <c r="AV17" s="124">
        <f t="shared" si="5"/>
        <v>1398622.5999999999</v>
      </c>
      <c r="AW17" s="114">
        <v>1127350</v>
      </c>
    </row>
    <row r="18" spans="1:51" ht="15" customHeight="1" thickBot="1" x14ac:dyDescent="0.3">
      <c r="A18" s="15">
        <v>528</v>
      </c>
      <c r="B18" s="16" t="s">
        <v>25</v>
      </c>
      <c r="C18" s="17">
        <v>12</v>
      </c>
      <c r="D18" s="23">
        <v>2000</v>
      </c>
      <c r="E18" s="18">
        <v>0</v>
      </c>
      <c r="F18" s="18">
        <f t="shared" si="13"/>
        <v>2000</v>
      </c>
      <c r="G18" s="19">
        <v>2105.14</v>
      </c>
      <c r="H18" s="20">
        <f>G18-'[1]Náklady Výnosy 2008 €'!F16</f>
        <v>-51436.651143862444</v>
      </c>
      <c r="I18" s="217">
        <v>0</v>
      </c>
      <c r="J18" s="85">
        <v>4000</v>
      </c>
      <c r="K18" s="85">
        <f t="shared" si="6"/>
        <v>4000</v>
      </c>
      <c r="L18" s="169">
        <v>7858.15</v>
      </c>
      <c r="M18" s="223"/>
      <c r="N18" s="138"/>
      <c r="O18" s="138"/>
      <c r="P18" s="170">
        <v>2242.17</v>
      </c>
      <c r="Q18" s="233">
        <v>0</v>
      </c>
      <c r="R18" s="137">
        <v>0</v>
      </c>
      <c r="S18" s="85">
        <f t="shared" si="7"/>
        <v>0</v>
      </c>
      <c r="T18" s="28"/>
      <c r="U18" s="28">
        <v>0</v>
      </c>
      <c r="V18" s="28">
        <v>0</v>
      </c>
      <c r="W18" s="28">
        <f t="shared" si="14"/>
        <v>0</v>
      </c>
      <c r="X18" s="19">
        <v>0</v>
      </c>
      <c r="Y18" s="28"/>
      <c r="Z18" s="28"/>
      <c r="AA18" s="28">
        <f t="shared" si="15"/>
        <v>0</v>
      </c>
      <c r="AB18" s="19">
        <v>0</v>
      </c>
      <c r="AC18" s="28"/>
      <c r="AD18" s="90"/>
      <c r="AE18" s="100">
        <f t="shared" si="16"/>
        <v>0</v>
      </c>
      <c r="AF18" s="91"/>
      <c r="AG18" s="145"/>
      <c r="AH18" s="145"/>
      <c r="AI18" s="143">
        <f t="shared" si="8"/>
        <v>0</v>
      </c>
      <c r="AJ18" s="91">
        <v>0</v>
      </c>
      <c r="AK18" s="107">
        <v>0</v>
      </c>
      <c r="AL18" s="107">
        <v>0</v>
      </c>
      <c r="AM18" s="108">
        <f t="shared" si="1"/>
        <v>0</v>
      </c>
      <c r="AN18" s="114">
        <v>0</v>
      </c>
      <c r="AO18" s="124"/>
      <c r="AP18" s="124">
        <v>0</v>
      </c>
      <c r="AQ18" s="124">
        <f t="shared" si="12"/>
        <v>0</v>
      </c>
      <c r="AR18" s="114">
        <v>0</v>
      </c>
      <c r="AS18" s="124">
        <f t="shared" si="3"/>
        <v>2000</v>
      </c>
      <c r="AT18" s="124">
        <f t="shared" si="4"/>
        <v>4000</v>
      </c>
      <c r="AU18" s="124">
        <f t="shared" si="9"/>
        <v>6000</v>
      </c>
      <c r="AV18" s="124">
        <f t="shared" si="5"/>
        <v>12205.46</v>
      </c>
      <c r="AW18" s="114">
        <v>22500</v>
      </c>
    </row>
    <row r="19" spans="1:51" ht="15" customHeight="1" thickBot="1" x14ac:dyDescent="0.3">
      <c r="A19" s="15">
        <v>531</v>
      </c>
      <c r="B19" s="16" t="s">
        <v>26</v>
      </c>
      <c r="C19" s="17">
        <v>13</v>
      </c>
      <c r="D19" s="23">
        <v>0</v>
      </c>
      <c r="E19" s="18">
        <v>800</v>
      </c>
      <c r="F19" s="18">
        <f t="shared" si="13"/>
        <v>800</v>
      </c>
      <c r="G19" s="19">
        <v>607.44000000000005</v>
      </c>
      <c r="H19" s="20">
        <f>G19-'[1]Náklady Výnosy 2008 €'!F17</f>
        <v>-4637.1991821018382</v>
      </c>
      <c r="I19" s="217">
        <v>0</v>
      </c>
      <c r="J19" s="85">
        <v>17</v>
      </c>
      <c r="K19" s="85">
        <f t="shared" si="6"/>
        <v>17</v>
      </c>
      <c r="L19" s="169">
        <v>16.72</v>
      </c>
      <c r="M19" s="223"/>
      <c r="N19" s="138"/>
      <c r="O19" s="138">
        <f t="shared" si="10"/>
        <v>0</v>
      </c>
      <c r="P19" s="170">
        <v>241.08</v>
      </c>
      <c r="Q19" s="233">
        <v>0</v>
      </c>
      <c r="R19" s="137">
        <v>30</v>
      </c>
      <c r="S19" s="85">
        <f t="shared" si="7"/>
        <v>30</v>
      </c>
      <c r="T19" s="28">
        <v>24</v>
      </c>
      <c r="U19" s="86">
        <v>0</v>
      </c>
      <c r="V19" s="28">
        <v>0</v>
      </c>
      <c r="W19" s="28">
        <f t="shared" si="14"/>
        <v>0</v>
      </c>
      <c r="X19" s="19">
        <v>0</v>
      </c>
      <c r="Y19" s="86"/>
      <c r="Z19" s="28">
        <v>100</v>
      </c>
      <c r="AA19" s="28">
        <f t="shared" si="15"/>
        <v>100</v>
      </c>
      <c r="AB19" s="19">
        <v>81.84</v>
      </c>
      <c r="AC19" s="28"/>
      <c r="AD19" s="90"/>
      <c r="AE19" s="100"/>
      <c r="AF19" s="91"/>
      <c r="AG19" s="145"/>
      <c r="AH19" s="145">
        <v>357</v>
      </c>
      <c r="AI19" s="143">
        <f t="shared" si="8"/>
        <v>357</v>
      </c>
      <c r="AJ19" s="91">
        <v>357</v>
      </c>
      <c r="AK19" s="107">
        <v>0</v>
      </c>
      <c r="AL19" s="107">
        <v>410</v>
      </c>
      <c r="AM19" s="108">
        <f t="shared" si="1"/>
        <v>410</v>
      </c>
      <c r="AN19" s="114">
        <v>408.35</v>
      </c>
      <c r="AO19" s="124"/>
      <c r="AP19" s="124">
        <v>500</v>
      </c>
      <c r="AQ19" s="124">
        <f t="shared" si="12"/>
        <v>500</v>
      </c>
      <c r="AR19" s="114">
        <v>500</v>
      </c>
      <c r="AS19" s="124">
        <f t="shared" si="3"/>
        <v>0</v>
      </c>
      <c r="AT19" s="124">
        <f t="shared" si="4"/>
        <v>2214</v>
      </c>
      <c r="AU19" s="124">
        <f t="shared" si="9"/>
        <v>2214</v>
      </c>
      <c r="AV19" s="124">
        <f t="shared" si="5"/>
        <v>2236.4300000000003</v>
      </c>
      <c r="AW19" s="114">
        <v>4467</v>
      </c>
    </row>
    <row r="20" spans="1:51" ht="15" customHeight="1" thickBot="1" x14ac:dyDescent="0.3">
      <c r="A20" s="15">
        <v>532</v>
      </c>
      <c r="B20" s="16" t="s">
        <v>27</v>
      </c>
      <c r="C20" s="17">
        <v>14</v>
      </c>
      <c r="D20" s="23">
        <v>1600</v>
      </c>
      <c r="E20" s="18">
        <v>5200</v>
      </c>
      <c r="F20" s="18">
        <f t="shared" si="13"/>
        <v>6800</v>
      </c>
      <c r="G20" s="19">
        <v>6738.43</v>
      </c>
      <c r="H20" s="20">
        <f>G20-'[1]Náklady Výnosy 2008 €'!F18</f>
        <v>-182500.10150102901</v>
      </c>
      <c r="I20" s="217">
        <v>1304</v>
      </c>
      <c r="J20" s="85">
        <v>0</v>
      </c>
      <c r="K20" s="85">
        <f t="shared" si="6"/>
        <v>1304</v>
      </c>
      <c r="L20" s="169">
        <v>1304.47</v>
      </c>
      <c r="M20" s="223"/>
      <c r="N20" s="124">
        <v>4500</v>
      </c>
      <c r="O20" s="138">
        <f t="shared" ref="O20" si="17">SUM(M20:N20)</f>
        <v>4500</v>
      </c>
      <c r="P20" s="170">
        <v>4340.75</v>
      </c>
      <c r="Q20" s="233">
        <v>1000</v>
      </c>
      <c r="R20" s="137">
        <v>0</v>
      </c>
      <c r="S20" s="85">
        <f t="shared" si="7"/>
        <v>1000</v>
      </c>
      <c r="T20" s="28">
        <v>857</v>
      </c>
      <c r="U20" s="28">
        <v>750</v>
      </c>
      <c r="V20" s="28">
        <v>100</v>
      </c>
      <c r="W20" s="28">
        <f t="shared" si="14"/>
        <v>850</v>
      </c>
      <c r="X20" s="19">
        <v>874.95</v>
      </c>
      <c r="Y20" s="28"/>
      <c r="Z20" s="28">
        <v>2193.98</v>
      </c>
      <c r="AA20" s="28">
        <f t="shared" si="15"/>
        <v>2193.98</v>
      </c>
      <c r="AB20" s="19">
        <v>2193.98</v>
      </c>
      <c r="AC20" s="28">
        <v>2416</v>
      </c>
      <c r="AD20" s="90"/>
      <c r="AE20" s="100">
        <f t="shared" si="16"/>
        <v>2416</v>
      </c>
      <c r="AF20" s="91">
        <v>2416.19</v>
      </c>
      <c r="AG20" s="145">
        <v>28573</v>
      </c>
      <c r="AH20" s="145"/>
      <c r="AI20" s="143">
        <f>AG20+AH20</f>
        <v>28573</v>
      </c>
      <c r="AJ20" s="91">
        <v>27594</v>
      </c>
      <c r="AK20" s="107">
        <v>127520</v>
      </c>
      <c r="AL20" s="109">
        <v>26900</v>
      </c>
      <c r="AM20" s="108">
        <f t="shared" si="1"/>
        <v>154420</v>
      </c>
      <c r="AN20" s="115">
        <v>154362.32</v>
      </c>
      <c r="AO20" s="124"/>
      <c r="AP20" s="124">
        <v>8486</v>
      </c>
      <c r="AQ20" s="124">
        <f t="shared" si="12"/>
        <v>8486</v>
      </c>
      <c r="AR20" s="115">
        <v>9307</v>
      </c>
      <c r="AS20" s="124">
        <f t="shared" si="3"/>
        <v>163163</v>
      </c>
      <c r="AT20" s="124">
        <f t="shared" si="4"/>
        <v>47379.98</v>
      </c>
      <c r="AU20" s="124">
        <f t="shared" si="9"/>
        <v>210542.98</v>
      </c>
      <c r="AV20" s="124">
        <f t="shared" si="5"/>
        <v>209989.09000000003</v>
      </c>
      <c r="AW20" s="115">
        <v>224835</v>
      </c>
      <c r="AY20" s="21"/>
    </row>
    <row r="21" spans="1:51" ht="15" customHeight="1" x14ac:dyDescent="0.25">
      <c r="A21" s="15">
        <v>538</v>
      </c>
      <c r="B21" s="16" t="s">
        <v>28</v>
      </c>
      <c r="C21" s="17">
        <v>15</v>
      </c>
      <c r="D21" s="23">
        <v>970</v>
      </c>
      <c r="E21" s="18">
        <v>280</v>
      </c>
      <c r="F21" s="18">
        <f t="shared" si="13"/>
        <v>1250</v>
      </c>
      <c r="G21" s="19">
        <v>1245.53</v>
      </c>
      <c r="H21" s="20">
        <f>G21-'[1]Náklady Výnosy 2008 €'!F19</f>
        <v>-38487.590892252541</v>
      </c>
      <c r="I21" s="217">
        <v>30</v>
      </c>
      <c r="J21" s="85">
        <v>0</v>
      </c>
      <c r="K21" s="85">
        <f t="shared" si="6"/>
        <v>30</v>
      </c>
      <c r="L21" s="169">
        <v>50</v>
      </c>
      <c r="M21" s="223"/>
      <c r="N21" s="124"/>
      <c r="O21" s="138">
        <f t="shared" si="10"/>
        <v>0</v>
      </c>
      <c r="P21" s="170">
        <v>109.49</v>
      </c>
      <c r="Q21" s="233">
        <v>20000</v>
      </c>
      <c r="R21" s="137">
        <v>0</v>
      </c>
      <c r="S21" s="85">
        <f t="shared" si="7"/>
        <v>20000</v>
      </c>
      <c r="T21" s="28">
        <v>18427</v>
      </c>
      <c r="U21" s="28">
        <v>2000</v>
      </c>
      <c r="V21" s="28">
        <v>0</v>
      </c>
      <c r="W21" s="28">
        <f t="shared" si="14"/>
        <v>2000</v>
      </c>
      <c r="X21" s="19">
        <v>2150.5700000000002</v>
      </c>
      <c r="Y21" s="28">
        <v>600</v>
      </c>
      <c r="Z21" s="28"/>
      <c r="AA21" s="28">
        <f t="shared" si="15"/>
        <v>600</v>
      </c>
      <c r="AB21" s="19">
        <v>477.5</v>
      </c>
      <c r="AC21" s="28">
        <v>588</v>
      </c>
      <c r="AD21" s="90"/>
      <c r="AE21" s="100">
        <f t="shared" si="16"/>
        <v>588</v>
      </c>
      <c r="AF21" s="91">
        <v>306.16000000000003</v>
      </c>
      <c r="AG21" s="145">
        <v>1600</v>
      </c>
      <c r="AH21" s="145">
        <v>100</v>
      </c>
      <c r="AI21" s="143">
        <f t="shared" ref="AI21" si="18">AG21+AH21</f>
        <v>1700</v>
      </c>
      <c r="AJ21" s="91">
        <v>52865</v>
      </c>
      <c r="AK21" s="107">
        <v>1100</v>
      </c>
      <c r="AL21" s="107">
        <v>250</v>
      </c>
      <c r="AM21" s="108">
        <f t="shared" si="1"/>
        <v>1350</v>
      </c>
      <c r="AN21" s="114">
        <v>1245.55</v>
      </c>
      <c r="AO21" s="124"/>
      <c r="AP21" s="124">
        <v>70</v>
      </c>
      <c r="AQ21" s="124">
        <f t="shared" si="12"/>
        <v>70</v>
      </c>
      <c r="AR21" s="114">
        <v>77</v>
      </c>
      <c r="AS21" s="124">
        <f t="shared" si="3"/>
        <v>26888</v>
      </c>
      <c r="AT21" s="124">
        <f t="shared" si="4"/>
        <v>700</v>
      </c>
      <c r="AU21" s="124">
        <f t="shared" si="9"/>
        <v>27588</v>
      </c>
      <c r="AV21" s="124">
        <f t="shared" si="5"/>
        <v>76953.8</v>
      </c>
      <c r="AW21" s="114">
        <v>31490</v>
      </c>
    </row>
    <row r="22" spans="1:51" ht="0.75" customHeight="1" x14ac:dyDescent="0.25">
      <c r="A22" s="15">
        <v>541</v>
      </c>
      <c r="B22" s="16" t="s">
        <v>29</v>
      </c>
      <c r="C22" s="17">
        <v>16</v>
      </c>
      <c r="D22" s="23">
        <v>0</v>
      </c>
      <c r="E22" s="18">
        <v>0</v>
      </c>
      <c r="F22" s="18">
        <f t="shared" si="13"/>
        <v>0</v>
      </c>
      <c r="G22" s="19">
        <v>0</v>
      </c>
      <c r="H22" s="20">
        <f>G22-'[1]Náklady Výnosy 2008 €'!F20</f>
        <v>-132.77567549624908</v>
      </c>
      <c r="I22" s="217">
        <v>0</v>
      </c>
      <c r="J22" s="85">
        <v>0</v>
      </c>
      <c r="K22" s="85">
        <f t="shared" si="6"/>
        <v>0</v>
      </c>
      <c r="L22" s="169">
        <v>0</v>
      </c>
      <c r="M22" s="223"/>
      <c r="N22" s="138"/>
      <c r="O22" s="138">
        <f t="shared" si="10"/>
        <v>0</v>
      </c>
      <c r="P22" s="170">
        <v>6.74</v>
      </c>
      <c r="Q22" s="233">
        <v>0</v>
      </c>
      <c r="R22" s="137">
        <v>0</v>
      </c>
      <c r="S22" s="85">
        <f t="shared" si="7"/>
        <v>0</v>
      </c>
      <c r="T22" s="28"/>
      <c r="U22" s="28">
        <v>0</v>
      </c>
      <c r="V22" s="28">
        <v>0</v>
      </c>
      <c r="W22" s="28">
        <f t="shared" si="14"/>
        <v>0</v>
      </c>
      <c r="X22" s="19">
        <v>0</v>
      </c>
      <c r="Y22" s="28"/>
      <c r="Z22" s="28"/>
      <c r="AA22" s="28">
        <f t="shared" si="15"/>
        <v>0</v>
      </c>
      <c r="AB22" s="19">
        <v>0</v>
      </c>
      <c r="AC22" s="28"/>
      <c r="AD22" s="90"/>
      <c r="AE22" s="100"/>
      <c r="AF22" s="91"/>
      <c r="AG22" s="28"/>
      <c r="AH22" s="90"/>
      <c r="AI22" s="100"/>
      <c r="AJ22" s="91"/>
      <c r="AK22" s="107">
        <v>0</v>
      </c>
      <c r="AL22" s="107">
        <v>0</v>
      </c>
      <c r="AM22" s="108">
        <f t="shared" si="1"/>
        <v>0</v>
      </c>
      <c r="AN22" s="114">
        <v>0</v>
      </c>
      <c r="AO22" s="124"/>
      <c r="AP22" s="124"/>
      <c r="AQ22" s="124">
        <f t="shared" si="12"/>
        <v>0</v>
      </c>
      <c r="AR22" s="114"/>
      <c r="AS22" s="124">
        <f t="shared" si="3"/>
        <v>0</v>
      </c>
      <c r="AT22" s="124">
        <f t="shared" si="4"/>
        <v>0</v>
      </c>
      <c r="AU22" s="124">
        <f t="shared" si="9"/>
        <v>0</v>
      </c>
      <c r="AV22" s="124">
        <f t="shared" si="5"/>
        <v>6.74</v>
      </c>
      <c r="AW22" s="114">
        <v>0</v>
      </c>
    </row>
    <row r="23" spans="1:51" ht="15" hidden="1" customHeight="1" x14ac:dyDescent="0.25">
      <c r="A23" s="15">
        <v>542</v>
      </c>
      <c r="B23" s="16" t="s">
        <v>30</v>
      </c>
      <c r="C23" s="17">
        <v>17</v>
      </c>
      <c r="D23" s="23">
        <v>0</v>
      </c>
      <c r="E23" s="18">
        <v>0</v>
      </c>
      <c r="F23" s="18">
        <f t="shared" si="13"/>
        <v>0</v>
      </c>
      <c r="G23" s="19">
        <v>26.6</v>
      </c>
      <c r="H23" s="20">
        <f>G23-'[1]Náklady Výnosy 2008 €'!F21</f>
        <v>-2861.2709420434176</v>
      </c>
      <c r="I23" s="217">
        <v>0</v>
      </c>
      <c r="J23" s="85">
        <v>0</v>
      </c>
      <c r="K23" s="85">
        <f t="shared" si="6"/>
        <v>0</v>
      </c>
      <c r="L23" s="169">
        <v>0</v>
      </c>
      <c r="M23" s="223"/>
      <c r="N23" s="138"/>
      <c r="O23" s="138">
        <f t="shared" si="10"/>
        <v>0</v>
      </c>
      <c r="P23" s="170">
        <v>0</v>
      </c>
      <c r="Q23" s="233">
        <v>0</v>
      </c>
      <c r="R23" s="137">
        <v>0</v>
      </c>
      <c r="S23" s="85">
        <f t="shared" si="7"/>
        <v>0</v>
      </c>
      <c r="T23" s="28"/>
      <c r="U23" s="28">
        <v>0</v>
      </c>
      <c r="V23" s="28">
        <v>0</v>
      </c>
      <c r="W23" s="28">
        <f t="shared" si="14"/>
        <v>0</v>
      </c>
      <c r="X23" s="19">
        <v>0</v>
      </c>
      <c r="Y23" s="28"/>
      <c r="Z23" s="28"/>
      <c r="AA23" s="28">
        <f t="shared" si="15"/>
        <v>0</v>
      </c>
      <c r="AB23" s="19">
        <v>31.72</v>
      </c>
      <c r="AC23" s="28"/>
      <c r="AD23" s="90"/>
      <c r="AE23" s="100">
        <f t="shared" si="16"/>
        <v>0</v>
      </c>
      <c r="AF23" s="91">
        <v>1021.09</v>
      </c>
      <c r="AG23" s="28"/>
      <c r="AH23" s="90"/>
      <c r="AI23" s="100"/>
      <c r="AJ23" s="91"/>
      <c r="AK23" s="107">
        <v>0</v>
      </c>
      <c r="AL23" s="107">
        <v>0</v>
      </c>
      <c r="AM23" s="108">
        <f t="shared" si="1"/>
        <v>0</v>
      </c>
      <c r="AN23" s="114">
        <v>13.5</v>
      </c>
      <c r="AO23" s="124"/>
      <c r="AP23" s="124"/>
      <c r="AQ23" s="124">
        <f t="shared" si="12"/>
        <v>0</v>
      </c>
      <c r="AR23" s="114"/>
      <c r="AS23" s="124">
        <f t="shared" si="3"/>
        <v>0</v>
      </c>
      <c r="AT23" s="124">
        <f t="shared" si="4"/>
        <v>0</v>
      </c>
      <c r="AU23" s="124">
        <f t="shared" si="9"/>
        <v>0</v>
      </c>
      <c r="AV23" s="124">
        <f t="shared" si="5"/>
        <v>1092.9100000000001</v>
      </c>
      <c r="AW23" s="114">
        <v>0</v>
      </c>
    </row>
    <row r="24" spans="1:51" ht="15" hidden="1" customHeight="1" x14ac:dyDescent="0.25">
      <c r="A24" s="15">
        <v>543</v>
      </c>
      <c r="B24" s="16" t="s">
        <v>31</v>
      </c>
      <c r="C24" s="17">
        <v>18</v>
      </c>
      <c r="D24" s="23">
        <v>0</v>
      </c>
      <c r="E24" s="18">
        <v>0</v>
      </c>
      <c r="F24" s="18">
        <f t="shared" si="13"/>
        <v>0</v>
      </c>
      <c r="G24" s="19">
        <v>298.05</v>
      </c>
      <c r="H24" s="20">
        <f>G24-'[1]Náklady Výnosy 2008 €'!F22</f>
        <v>-124112.75793998539</v>
      </c>
      <c r="I24" s="217">
        <v>0</v>
      </c>
      <c r="J24" s="85">
        <v>0</v>
      </c>
      <c r="K24" s="85">
        <f t="shared" si="6"/>
        <v>0</v>
      </c>
      <c r="L24" s="169">
        <v>0</v>
      </c>
      <c r="M24" s="223"/>
      <c r="N24" s="138"/>
      <c r="O24" s="138">
        <f t="shared" si="10"/>
        <v>0</v>
      </c>
      <c r="P24" s="170">
        <v>0</v>
      </c>
      <c r="Q24" s="233">
        <v>0</v>
      </c>
      <c r="R24" s="137">
        <v>0</v>
      </c>
      <c r="S24" s="85">
        <f t="shared" si="7"/>
        <v>0</v>
      </c>
      <c r="T24" s="28"/>
      <c r="U24" s="28">
        <v>0</v>
      </c>
      <c r="V24" s="28">
        <v>0</v>
      </c>
      <c r="W24" s="28">
        <f t="shared" si="14"/>
        <v>0</v>
      </c>
      <c r="X24" s="19">
        <v>0</v>
      </c>
      <c r="Y24" s="28"/>
      <c r="Z24" s="28"/>
      <c r="AA24" s="28">
        <f t="shared" si="15"/>
        <v>0</v>
      </c>
      <c r="AB24" s="19">
        <v>0</v>
      </c>
      <c r="AC24" s="28"/>
      <c r="AD24" s="90"/>
      <c r="AE24" s="100">
        <f t="shared" si="16"/>
        <v>0</v>
      </c>
      <c r="AF24" s="91">
        <v>51.55</v>
      </c>
      <c r="AG24" s="28"/>
      <c r="AH24" s="90"/>
      <c r="AI24" s="100"/>
      <c r="AJ24" s="91"/>
      <c r="AK24" s="107">
        <v>0</v>
      </c>
      <c r="AL24" s="107">
        <v>0</v>
      </c>
      <c r="AM24" s="108">
        <f t="shared" si="1"/>
        <v>0</v>
      </c>
      <c r="AN24" s="114">
        <v>423.24</v>
      </c>
      <c r="AO24" s="124"/>
      <c r="AP24" s="124"/>
      <c r="AQ24" s="124">
        <f t="shared" si="12"/>
        <v>0</v>
      </c>
      <c r="AR24" s="114"/>
      <c r="AS24" s="124">
        <f t="shared" si="3"/>
        <v>0</v>
      </c>
      <c r="AT24" s="124">
        <f t="shared" si="4"/>
        <v>0</v>
      </c>
      <c r="AU24" s="124">
        <f t="shared" si="9"/>
        <v>0</v>
      </c>
      <c r="AV24" s="124">
        <f t="shared" si="5"/>
        <v>772.84</v>
      </c>
      <c r="AW24" s="114">
        <v>0</v>
      </c>
    </row>
    <row r="25" spans="1:51" ht="15" hidden="1" customHeight="1" x14ac:dyDescent="0.25">
      <c r="A25" s="15">
        <v>544</v>
      </c>
      <c r="B25" s="16" t="s">
        <v>32</v>
      </c>
      <c r="C25" s="17">
        <v>19</v>
      </c>
      <c r="D25" s="23">
        <v>0</v>
      </c>
      <c r="E25" s="18">
        <v>0</v>
      </c>
      <c r="F25" s="18">
        <f t="shared" si="13"/>
        <v>0</v>
      </c>
      <c r="G25" s="19">
        <v>0</v>
      </c>
      <c r="H25" s="20">
        <f>G25-'[1]Náklady Výnosy 2008 €'!F23</f>
        <v>0</v>
      </c>
      <c r="I25" s="217">
        <v>0</v>
      </c>
      <c r="J25" s="85">
        <v>0</v>
      </c>
      <c r="K25" s="85">
        <f t="shared" si="6"/>
        <v>0</v>
      </c>
      <c r="L25" s="169">
        <v>0</v>
      </c>
      <c r="M25" s="223"/>
      <c r="N25" s="138"/>
      <c r="O25" s="138">
        <f t="shared" si="10"/>
        <v>0</v>
      </c>
      <c r="P25" s="170">
        <v>229.39</v>
      </c>
      <c r="Q25" s="233">
        <v>0</v>
      </c>
      <c r="R25" s="137">
        <v>0</v>
      </c>
      <c r="S25" s="85">
        <f t="shared" si="7"/>
        <v>0</v>
      </c>
      <c r="T25" s="28"/>
      <c r="U25" s="28">
        <v>0</v>
      </c>
      <c r="V25" s="28">
        <v>0</v>
      </c>
      <c r="W25" s="28">
        <f t="shared" si="14"/>
        <v>0</v>
      </c>
      <c r="X25" s="19">
        <v>0</v>
      </c>
      <c r="Y25" s="28"/>
      <c r="Z25" s="28"/>
      <c r="AA25" s="28">
        <f t="shared" si="15"/>
        <v>0</v>
      </c>
      <c r="AB25" s="19">
        <v>0</v>
      </c>
      <c r="AC25" s="28"/>
      <c r="AD25" s="90"/>
      <c r="AE25" s="100">
        <f t="shared" si="16"/>
        <v>0</v>
      </c>
      <c r="AF25" s="91"/>
      <c r="AG25" s="28"/>
      <c r="AH25" s="90"/>
      <c r="AI25" s="100"/>
      <c r="AJ25" s="91"/>
      <c r="AK25" s="107">
        <v>0</v>
      </c>
      <c r="AL25" s="107">
        <v>0</v>
      </c>
      <c r="AM25" s="108">
        <f t="shared" si="1"/>
        <v>0</v>
      </c>
      <c r="AN25" s="114">
        <v>0</v>
      </c>
      <c r="AO25" s="124"/>
      <c r="AP25" s="124"/>
      <c r="AQ25" s="124">
        <f t="shared" si="12"/>
        <v>0</v>
      </c>
      <c r="AR25" s="114"/>
      <c r="AS25" s="124">
        <f t="shared" si="3"/>
        <v>0</v>
      </c>
      <c r="AT25" s="124">
        <f t="shared" si="4"/>
        <v>0</v>
      </c>
      <c r="AU25" s="124">
        <f t="shared" si="9"/>
        <v>0</v>
      </c>
      <c r="AV25" s="124">
        <f t="shared" si="5"/>
        <v>229.39</v>
      </c>
      <c r="AW25" s="114">
        <v>0</v>
      </c>
    </row>
    <row r="26" spans="1:51" ht="15" hidden="1" customHeight="1" x14ac:dyDescent="0.25">
      <c r="A26" s="15">
        <v>545</v>
      </c>
      <c r="B26" s="16" t="s">
        <v>33</v>
      </c>
      <c r="C26" s="17">
        <v>20</v>
      </c>
      <c r="D26" s="23">
        <v>0</v>
      </c>
      <c r="E26" s="18">
        <v>0</v>
      </c>
      <c r="F26" s="18">
        <f t="shared" si="13"/>
        <v>0</v>
      </c>
      <c r="G26" s="19">
        <v>384.18</v>
      </c>
      <c r="H26" s="20">
        <f>G26-'[1]Náklady Výnosy 2008 €'!F24</f>
        <v>-193036.78527916086</v>
      </c>
      <c r="I26" s="217">
        <v>0</v>
      </c>
      <c r="J26" s="85">
        <v>0</v>
      </c>
      <c r="K26" s="85">
        <f t="shared" si="6"/>
        <v>0</v>
      </c>
      <c r="L26" s="169">
        <v>85.48</v>
      </c>
      <c r="M26" s="223"/>
      <c r="N26" s="138"/>
      <c r="O26" s="138">
        <f t="shared" si="10"/>
        <v>0</v>
      </c>
      <c r="P26" s="170">
        <v>511.7</v>
      </c>
      <c r="Q26" s="233">
        <v>0</v>
      </c>
      <c r="R26" s="137">
        <v>0</v>
      </c>
      <c r="S26" s="85">
        <f t="shared" si="7"/>
        <v>0</v>
      </c>
      <c r="T26" s="28"/>
      <c r="U26" s="28">
        <v>0</v>
      </c>
      <c r="V26" s="28">
        <v>0</v>
      </c>
      <c r="W26" s="28">
        <f t="shared" si="14"/>
        <v>0</v>
      </c>
      <c r="X26" s="19">
        <v>54.78</v>
      </c>
      <c r="Y26" s="28"/>
      <c r="Z26" s="28"/>
      <c r="AA26" s="28">
        <f t="shared" si="15"/>
        <v>0</v>
      </c>
      <c r="AB26" s="19">
        <v>772.92</v>
      </c>
      <c r="AC26" s="28"/>
      <c r="AD26" s="90"/>
      <c r="AE26" s="100">
        <f t="shared" si="16"/>
        <v>0</v>
      </c>
      <c r="AF26" s="91">
        <v>11745.52</v>
      </c>
      <c r="AG26" s="28"/>
      <c r="AH26" s="90"/>
      <c r="AI26" s="100"/>
      <c r="AJ26" s="91"/>
      <c r="AK26" s="107">
        <v>0</v>
      </c>
      <c r="AL26" s="107">
        <v>0</v>
      </c>
      <c r="AM26" s="108">
        <f t="shared" si="1"/>
        <v>0</v>
      </c>
      <c r="AN26" s="114">
        <v>0</v>
      </c>
      <c r="AO26" s="124"/>
      <c r="AP26" s="124"/>
      <c r="AQ26" s="124">
        <f t="shared" si="12"/>
        <v>0</v>
      </c>
      <c r="AR26" s="114"/>
      <c r="AS26" s="124">
        <f t="shared" si="3"/>
        <v>0</v>
      </c>
      <c r="AT26" s="124">
        <f t="shared" si="4"/>
        <v>0</v>
      </c>
      <c r="AU26" s="124">
        <f t="shared" si="9"/>
        <v>0</v>
      </c>
      <c r="AV26" s="124">
        <f t="shared" si="5"/>
        <v>13554.58</v>
      </c>
      <c r="AW26" s="114">
        <v>1500</v>
      </c>
    </row>
    <row r="27" spans="1:51" ht="15" hidden="1" customHeight="1" x14ac:dyDescent="0.25">
      <c r="A27" s="15">
        <v>546</v>
      </c>
      <c r="B27" s="16" t="s">
        <v>34</v>
      </c>
      <c r="C27" s="17">
        <v>21</v>
      </c>
      <c r="D27" s="23">
        <v>0</v>
      </c>
      <c r="E27" s="18">
        <v>0</v>
      </c>
      <c r="F27" s="18">
        <f t="shared" si="13"/>
        <v>0</v>
      </c>
      <c r="G27" s="19">
        <v>0</v>
      </c>
      <c r="H27" s="20">
        <f>G27-'[1]Náklady Výnosy 2008 €'!F25</f>
        <v>-165.96959437031134</v>
      </c>
      <c r="I27" s="217">
        <v>0</v>
      </c>
      <c r="J27" s="85">
        <v>0</v>
      </c>
      <c r="K27" s="85">
        <f t="shared" si="6"/>
        <v>0</v>
      </c>
      <c r="L27" s="169">
        <v>0</v>
      </c>
      <c r="M27" s="223"/>
      <c r="N27" s="138"/>
      <c r="O27" s="138">
        <f t="shared" si="10"/>
        <v>0</v>
      </c>
      <c r="P27" s="170">
        <v>0</v>
      </c>
      <c r="Q27" s="233">
        <v>0</v>
      </c>
      <c r="R27" s="137">
        <v>0</v>
      </c>
      <c r="S27" s="85">
        <f t="shared" si="7"/>
        <v>0</v>
      </c>
      <c r="T27" s="28"/>
      <c r="U27" s="28">
        <v>0</v>
      </c>
      <c r="V27" s="28">
        <v>0</v>
      </c>
      <c r="W27" s="28">
        <f t="shared" si="14"/>
        <v>0</v>
      </c>
      <c r="X27" s="19"/>
      <c r="Y27" s="28"/>
      <c r="Z27" s="28"/>
      <c r="AA27" s="28">
        <f t="shared" si="15"/>
        <v>0</v>
      </c>
      <c r="AB27" s="19">
        <v>0</v>
      </c>
      <c r="AC27" s="28"/>
      <c r="AD27" s="90"/>
      <c r="AE27" s="100">
        <f t="shared" si="16"/>
        <v>0</v>
      </c>
      <c r="AF27" s="91"/>
      <c r="AG27" s="28"/>
      <c r="AH27" s="90"/>
      <c r="AI27" s="100"/>
      <c r="AJ27" s="91"/>
      <c r="AK27" s="107">
        <v>0</v>
      </c>
      <c r="AL27" s="107">
        <v>0</v>
      </c>
      <c r="AM27" s="108">
        <f t="shared" si="1"/>
        <v>0</v>
      </c>
      <c r="AN27" s="114">
        <v>0</v>
      </c>
      <c r="AO27" s="124"/>
      <c r="AP27" s="124"/>
      <c r="AQ27" s="124">
        <f t="shared" si="12"/>
        <v>0</v>
      </c>
      <c r="AR27" s="114"/>
      <c r="AS27" s="124">
        <f t="shared" si="3"/>
        <v>0</v>
      </c>
      <c r="AT27" s="124">
        <f t="shared" si="4"/>
        <v>0</v>
      </c>
      <c r="AU27" s="124">
        <f t="shared" si="9"/>
        <v>0</v>
      </c>
      <c r="AV27" s="124">
        <f t="shared" si="5"/>
        <v>0</v>
      </c>
      <c r="AW27" s="114">
        <v>0</v>
      </c>
    </row>
    <row r="28" spans="1:51" ht="14.25" customHeight="1" thickBot="1" x14ac:dyDescent="0.3">
      <c r="A28" s="15">
        <v>547</v>
      </c>
      <c r="B28" s="16" t="s">
        <v>35</v>
      </c>
      <c r="C28" s="17">
        <v>22</v>
      </c>
      <c r="D28" s="23">
        <v>0</v>
      </c>
      <c r="E28" s="18">
        <v>0</v>
      </c>
      <c r="F28" s="18">
        <f t="shared" si="13"/>
        <v>0</v>
      </c>
      <c r="G28" s="19">
        <v>0</v>
      </c>
      <c r="H28" s="20">
        <f>G28-'[1]Náklady Výnosy 2008 €'!F26</f>
        <v>-697.07229635530769</v>
      </c>
      <c r="I28" s="217">
        <v>0</v>
      </c>
      <c r="J28" s="85">
        <v>0</v>
      </c>
      <c r="K28" s="85">
        <f t="shared" si="6"/>
        <v>0</v>
      </c>
      <c r="L28" s="169">
        <v>0</v>
      </c>
      <c r="M28" s="223">
        <v>1500</v>
      </c>
      <c r="N28" s="138"/>
      <c r="O28" s="138">
        <f t="shared" ref="O28" si="19">SUM(M28:N28)</f>
        <v>1500</v>
      </c>
      <c r="P28" s="170">
        <v>3601.05</v>
      </c>
      <c r="Q28" s="233">
        <v>0</v>
      </c>
      <c r="R28" s="137">
        <v>0</v>
      </c>
      <c r="S28" s="85">
        <f t="shared" si="7"/>
        <v>0</v>
      </c>
      <c r="T28" s="28">
        <v>4650</v>
      </c>
      <c r="U28" s="28">
        <v>0</v>
      </c>
      <c r="V28" s="28">
        <v>0</v>
      </c>
      <c r="W28" s="28">
        <f t="shared" si="14"/>
        <v>0</v>
      </c>
      <c r="X28" s="19">
        <v>0</v>
      </c>
      <c r="Y28" s="28"/>
      <c r="Z28" s="28"/>
      <c r="AA28" s="28">
        <f t="shared" si="15"/>
        <v>0</v>
      </c>
      <c r="AB28" s="19">
        <v>0</v>
      </c>
      <c r="AC28" s="4">
        <v>0</v>
      </c>
      <c r="AD28" s="4">
        <v>0</v>
      </c>
      <c r="AE28" s="4">
        <v>0</v>
      </c>
      <c r="AF28" s="91">
        <v>11745.52</v>
      </c>
      <c r="AG28" s="28"/>
      <c r="AH28" s="90"/>
      <c r="AI28" s="100"/>
      <c r="AJ28" s="91"/>
      <c r="AK28" s="107">
        <v>0</v>
      </c>
      <c r="AL28" s="107">
        <v>0</v>
      </c>
      <c r="AM28" s="108">
        <f t="shared" si="1"/>
        <v>0</v>
      </c>
      <c r="AN28" s="114">
        <v>0</v>
      </c>
      <c r="AO28" s="124"/>
      <c r="AP28" s="124"/>
      <c r="AQ28" s="124">
        <f t="shared" si="12"/>
        <v>0</v>
      </c>
      <c r="AR28" s="114"/>
      <c r="AS28" s="124">
        <f>AO28+AK28+AG28+Y28+U28+Q28+M28+I28+D28</f>
        <v>1500</v>
      </c>
      <c r="AT28" s="124">
        <f>AP28+AL28+AH28+AD28+Z28+V28+R28+N28+J28+F28</f>
        <v>0</v>
      </c>
      <c r="AU28" s="124">
        <f t="shared" si="9"/>
        <v>1500</v>
      </c>
      <c r="AV28" s="124">
        <f t="shared" si="5"/>
        <v>19996.57</v>
      </c>
      <c r="AW28" s="114">
        <v>12000</v>
      </c>
      <c r="AY28" s="21"/>
    </row>
    <row r="29" spans="1:51" ht="15" hidden="1" customHeight="1" thickBot="1" x14ac:dyDescent="0.3">
      <c r="A29" s="15">
        <v>548</v>
      </c>
      <c r="B29" s="16" t="s">
        <v>36</v>
      </c>
      <c r="C29" s="17">
        <v>23</v>
      </c>
      <c r="D29" s="23">
        <v>0</v>
      </c>
      <c r="E29" s="18">
        <v>0</v>
      </c>
      <c r="F29" s="18">
        <f t="shared" si="13"/>
        <v>0</v>
      </c>
      <c r="G29" s="19">
        <v>0</v>
      </c>
      <c r="H29" s="20">
        <f>G29-'[1]Náklady Výnosy 2008 €'!F27</f>
        <v>-8630.4189072561894</v>
      </c>
      <c r="I29" s="217">
        <v>0</v>
      </c>
      <c r="J29" s="85">
        <v>0</v>
      </c>
      <c r="K29" s="85">
        <f t="shared" si="6"/>
        <v>0</v>
      </c>
      <c r="L29" s="169">
        <v>2271.2399999999998</v>
      </c>
      <c r="M29" s="223"/>
      <c r="N29" s="138"/>
      <c r="O29" s="138">
        <f t="shared" si="10"/>
        <v>0</v>
      </c>
      <c r="P29" s="170">
        <v>0</v>
      </c>
      <c r="Q29" s="233">
        <v>0</v>
      </c>
      <c r="R29" s="137">
        <v>0</v>
      </c>
      <c r="S29" s="85">
        <f t="shared" si="7"/>
        <v>0</v>
      </c>
      <c r="T29" s="28"/>
      <c r="U29" s="28">
        <v>0</v>
      </c>
      <c r="V29" s="28">
        <v>0</v>
      </c>
      <c r="W29" s="28">
        <f t="shared" si="14"/>
        <v>0</v>
      </c>
      <c r="X29" s="19">
        <v>0</v>
      </c>
      <c r="Y29" s="28"/>
      <c r="Z29" s="28"/>
      <c r="AA29" s="28">
        <f t="shared" si="15"/>
        <v>0</v>
      </c>
      <c r="AB29" s="19">
        <v>4103.2</v>
      </c>
      <c r="AC29" s="28">
        <v>0</v>
      </c>
      <c r="AD29" s="90"/>
      <c r="AE29" s="100">
        <f t="shared" si="16"/>
        <v>0</v>
      </c>
      <c r="AF29" s="91">
        <v>106113.37</v>
      </c>
      <c r="AG29" s="28"/>
      <c r="AH29" s="90"/>
      <c r="AI29" s="100"/>
      <c r="AJ29" s="91"/>
      <c r="AK29" s="107">
        <v>0</v>
      </c>
      <c r="AL29" s="107">
        <v>0</v>
      </c>
      <c r="AM29" s="108">
        <f t="shared" si="1"/>
        <v>0</v>
      </c>
      <c r="AN29" s="114">
        <v>9039.61</v>
      </c>
      <c r="AO29" s="124"/>
      <c r="AP29" s="124"/>
      <c r="AQ29" s="124">
        <f t="shared" si="12"/>
        <v>0</v>
      </c>
      <c r="AR29" s="114"/>
      <c r="AS29" s="124">
        <f t="shared" ref="AS29:AS44" si="20">AO29+AK29+AG29+AC29+Y29+U29+Q29+M29+I29+D29</f>
        <v>0</v>
      </c>
      <c r="AT29" s="124">
        <f t="shared" ref="AT29:AT44" si="21">AP29+AL29+AH29+AD29+Z29+V29+R29+N29+J29+E29</f>
        <v>0</v>
      </c>
      <c r="AU29" s="124">
        <f t="shared" si="9"/>
        <v>0</v>
      </c>
      <c r="AV29" s="124">
        <f t="shared" si="5"/>
        <v>121527.42</v>
      </c>
      <c r="AW29" s="114">
        <v>0</v>
      </c>
    </row>
    <row r="30" spans="1:51" ht="15" customHeight="1" thickBot="1" x14ac:dyDescent="0.3">
      <c r="A30" s="15">
        <v>549</v>
      </c>
      <c r="B30" s="16" t="s">
        <v>37</v>
      </c>
      <c r="C30" s="17">
        <v>24</v>
      </c>
      <c r="D30" s="23">
        <v>1338000</v>
      </c>
      <c r="E30" s="18">
        <v>7400</v>
      </c>
      <c r="F30" s="18">
        <f t="shared" si="13"/>
        <v>1345400</v>
      </c>
      <c r="G30" s="19">
        <v>1478624.19</v>
      </c>
      <c r="H30" s="20">
        <f>G30-'[1]Náklady Výnosy 2008 €'!F28</f>
        <v>-2692623.2374712871</v>
      </c>
      <c r="I30" s="217">
        <v>500540</v>
      </c>
      <c r="J30" s="85">
        <v>500</v>
      </c>
      <c r="K30" s="85">
        <f t="shared" si="6"/>
        <v>501040</v>
      </c>
      <c r="L30" s="169">
        <v>582650.24</v>
      </c>
      <c r="M30" s="223">
        <v>1200000</v>
      </c>
      <c r="N30" s="138">
        <v>5000</v>
      </c>
      <c r="O30" s="138">
        <f t="shared" ref="O30:O31" si="22">SUM(M30:N30)</f>
        <v>1205000</v>
      </c>
      <c r="P30" s="170">
        <v>1204426.98</v>
      </c>
      <c r="Q30" s="234">
        <v>1700000</v>
      </c>
      <c r="R30" s="137">
        <v>15594.17</v>
      </c>
      <c r="S30" s="85">
        <f t="shared" si="7"/>
        <v>1715594.17</v>
      </c>
      <c r="T30" s="28">
        <v>1990968</v>
      </c>
      <c r="U30" s="28">
        <v>390000</v>
      </c>
      <c r="V30" s="28">
        <v>0</v>
      </c>
      <c r="W30" s="28">
        <f t="shared" si="14"/>
        <v>390000</v>
      </c>
      <c r="X30" s="19">
        <v>344450.95</v>
      </c>
      <c r="Y30" s="28">
        <v>664080</v>
      </c>
      <c r="Z30" s="28">
        <v>2100</v>
      </c>
      <c r="AA30" s="28">
        <f t="shared" si="15"/>
        <v>666180</v>
      </c>
      <c r="AB30" s="19">
        <v>648398.87</v>
      </c>
      <c r="AC30" s="28">
        <v>270752</v>
      </c>
      <c r="AD30" s="90">
        <v>2956</v>
      </c>
      <c r="AE30" s="100">
        <f>SUM(AC30:AD30)</f>
        <v>273708</v>
      </c>
      <c r="AF30" s="91">
        <v>287694.06</v>
      </c>
      <c r="AG30" s="146">
        <v>430000</v>
      </c>
      <c r="AH30" s="146">
        <v>100000</v>
      </c>
      <c r="AI30" s="143">
        <f t="shared" ref="AI30:AI31" si="23">AG30+AH30</f>
        <v>530000</v>
      </c>
      <c r="AJ30" s="91">
        <v>936512</v>
      </c>
      <c r="AK30" s="107">
        <v>4300</v>
      </c>
      <c r="AL30" s="107">
        <v>10200</v>
      </c>
      <c r="AM30" s="108">
        <f t="shared" si="1"/>
        <v>14500</v>
      </c>
      <c r="AN30" s="114">
        <v>7566.56</v>
      </c>
      <c r="AO30" s="124"/>
      <c r="AP30" s="124">
        <v>3500</v>
      </c>
      <c r="AQ30" s="124">
        <f t="shared" si="12"/>
        <v>3500</v>
      </c>
      <c r="AR30" s="114">
        <v>7839</v>
      </c>
      <c r="AS30" s="124">
        <f t="shared" si="20"/>
        <v>6497672</v>
      </c>
      <c r="AT30" s="124">
        <f t="shared" si="21"/>
        <v>147250.17000000001</v>
      </c>
      <c r="AU30" s="124">
        <f t="shared" si="9"/>
        <v>6644922.1699999999</v>
      </c>
      <c r="AV30" s="124">
        <f t="shared" si="5"/>
        <v>7489130.8499999996</v>
      </c>
      <c r="AW30" s="114">
        <v>7249895</v>
      </c>
    </row>
    <row r="31" spans="1:51" ht="21" customHeight="1" thickBot="1" x14ac:dyDescent="0.3">
      <c r="A31" s="24">
        <v>551</v>
      </c>
      <c r="B31" s="25" t="s">
        <v>38</v>
      </c>
      <c r="C31" s="17">
        <v>25</v>
      </c>
      <c r="D31" s="26">
        <v>602500</v>
      </c>
      <c r="E31" s="18">
        <v>2400</v>
      </c>
      <c r="F31" s="18">
        <f t="shared" si="13"/>
        <v>604900</v>
      </c>
      <c r="G31" s="19">
        <v>516668.85</v>
      </c>
      <c r="H31" s="20">
        <f>G31-'[1]Náklady Výnosy 2008 €'!F29</f>
        <v>-3975530.579064595</v>
      </c>
      <c r="I31" s="217">
        <v>412300</v>
      </c>
      <c r="J31" s="85">
        <v>0</v>
      </c>
      <c r="K31" s="85">
        <f t="shared" si="6"/>
        <v>412300</v>
      </c>
      <c r="L31" s="169">
        <v>420054.5</v>
      </c>
      <c r="M31" s="223">
        <v>550000</v>
      </c>
      <c r="N31" s="138">
        <v>10000</v>
      </c>
      <c r="O31" s="138">
        <f t="shared" si="22"/>
        <v>560000</v>
      </c>
      <c r="P31" s="170">
        <v>717016.65</v>
      </c>
      <c r="Q31" s="233">
        <v>2900000</v>
      </c>
      <c r="R31" s="137">
        <v>1000</v>
      </c>
      <c r="S31" s="85">
        <f t="shared" si="7"/>
        <v>2901000</v>
      </c>
      <c r="T31" s="28">
        <v>3104262</v>
      </c>
      <c r="U31" s="28">
        <v>73000</v>
      </c>
      <c r="V31" s="28">
        <v>1000</v>
      </c>
      <c r="W31" s="28">
        <f t="shared" si="14"/>
        <v>74000</v>
      </c>
      <c r="X31" s="19">
        <v>73902.58</v>
      </c>
      <c r="Y31" s="28">
        <v>2100000</v>
      </c>
      <c r="Z31" s="28"/>
      <c r="AA31" s="28">
        <f t="shared" si="15"/>
        <v>2100000</v>
      </c>
      <c r="AB31" s="19">
        <v>1995174.33</v>
      </c>
      <c r="AC31" s="28">
        <v>66272</v>
      </c>
      <c r="AD31" s="90"/>
      <c r="AE31" s="100">
        <f t="shared" si="16"/>
        <v>66272</v>
      </c>
      <c r="AF31" s="91">
        <v>106113.37</v>
      </c>
      <c r="AG31" s="147">
        <v>4767670</v>
      </c>
      <c r="AH31" s="148"/>
      <c r="AI31" s="143">
        <f t="shared" si="23"/>
        <v>4767670</v>
      </c>
      <c r="AJ31" s="91">
        <f xml:space="preserve"> 4767669.53+166.08+106016.72+48291.16</f>
        <v>4922143.49</v>
      </c>
      <c r="AK31" s="107">
        <v>112000</v>
      </c>
      <c r="AL31" s="107">
        <v>12400</v>
      </c>
      <c r="AM31" s="108">
        <f t="shared" si="1"/>
        <v>124400</v>
      </c>
      <c r="AN31" s="114">
        <v>124070.92</v>
      </c>
      <c r="AO31" s="124">
        <v>118200</v>
      </c>
      <c r="AP31" s="124">
        <v>1800</v>
      </c>
      <c r="AQ31" s="124">
        <f t="shared" si="12"/>
        <v>120000</v>
      </c>
      <c r="AR31" s="114">
        <v>120554.21</v>
      </c>
      <c r="AS31" s="124">
        <f t="shared" si="20"/>
        <v>11701942</v>
      </c>
      <c r="AT31" s="124">
        <f t="shared" si="21"/>
        <v>28600</v>
      </c>
      <c r="AU31" s="124">
        <f t="shared" si="9"/>
        <v>11730542</v>
      </c>
      <c r="AV31" s="124">
        <f t="shared" si="5"/>
        <v>12099960.9</v>
      </c>
      <c r="AW31" s="114">
        <v>9926659</v>
      </c>
    </row>
    <row r="32" spans="1:51" ht="0.75" customHeight="1" thickBot="1" x14ac:dyDescent="0.3">
      <c r="A32" s="15">
        <v>552</v>
      </c>
      <c r="B32" s="27" t="s">
        <v>39</v>
      </c>
      <c r="C32" s="17">
        <v>26</v>
      </c>
      <c r="D32" s="23">
        <v>0</v>
      </c>
      <c r="E32" s="18">
        <v>0</v>
      </c>
      <c r="F32" s="18">
        <f t="shared" si="13"/>
        <v>0</v>
      </c>
      <c r="G32" s="19">
        <v>0</v>
      </c>
      <c r="H32" s="20">
        <f>G32-'[1]Náklady Výnosy 2008 €'!F30</f>
        <v>-549160.19385248621</v>
      </c>
      <c r="I32" s="217">
        <v>0</v>
      </c>
      <c r="J32" s="85">
        <v>0</v>
      </c>
      <c r="K32" s="85">
        <f t="shared" si="6"/>
        <v>0</v>
      </c>
      <c r="L32" s="169">
        <v>54820.12</v>
      </c>
      <c r="M32" s="223"/>
      <c r="N32" s="138"/>
      <c r="O32" s="138"/>
      <c r="P32" s="170">
        <v>0</v>
      </c>
      <c r="Q32" s="233">
        <v>0</v>
      </c>
      <c r="R32" s="137">
        <v>0</v>
      </c>
      <c r="S32" s="85">
        <f t="shared" si="7"/>
        <v>0</v>
      </c>
      <c r="T32" s="28"/>
      <c r="U32" s="28">
        <v>0</v>
      </c>
      <c r="V32" s="28">
        <v>0</v>
      </c>
      <c r="W32" s="28">
        <f t="shared" si="14"/>
        <v>0</v>
      </c>
      <c r="X32" s="19">
        <v>0</v>
      </c>
      <c r="Y32" s="28"/>
      <c r="Z32" s="28"/>
      <c r="AA32" s="28">
        <f t="shared" si="15"/>
        <v>0</v>
      </c>
      <c r="AB32" s="19">
        <v>184.95</v>
      </c>
      <c r="AC32" s="28"/>
      <c r="AD32" s="90"/>
      <c r="AE32" s="100">
        <f t="shared" si="16"/>
        <v>0</v>
      </c>
      <c r="AF32" s="91"/>
      <c r="AG32" s="28"/>
      <c r="AH32" s="90"/>
      <c r="AI32" s="100"/>
      <c r="AJ32" s="91"/>
      <c r="AK32" s="107">
        <v>0</v>
      </c>
      <c r="AL32" s="107">
        <v>0</v>
      </c>
      <c r="AM32" s="108">
        <f t="shared" si="1"/>
        <v>0</v>
      </c>
      <c r="AN32" s="114">
        <v>0</v>
      </c>
      <c r="AO32" s="124">
        <v>0</v>
      </c>
      <c r="AP32" s="124"/>
      <c r="AQ32" s="124">
        <f t="shared" si="12"/>
        <v>0</v>
      </c>
      <c r="AR32" s="114"/>
      <c r="AS32" s="124">
        <f t="shared" si="20"/>
        <v>0</v>
      </c>
      <c r="AT32" s="124">
        <f t="shared" si="21"/>
        <v>0</v>
      </c>
      <c r="AU32" s="124">
        <f t="shared" si="9"/>
        <v>0</v>
      </c>
      <c r="AV32" s="124">
        <f t="shared" si="5"/>
        <v>55005.07</v>
      </c>
      <c r="AW32" s="114">
        <v>0</v>
      </c>
    </row>
    <row r="33" spans="1:51" ht="15" hidden="1" customHeight="1" thickBot="1" x14ac:dyDescent="0.3">
      <c r="A33" s="15">
        <v>553</v>
      </c>
      <c r="B33" s="16" t="s">
        <v>40</v>
      </c>
      <c r="C33" s="17">
        <v>27</v>
      </c>
      <c r="D33" s="23">
        <v>0</v>
      </c>
      <c r="E33" s="18">
        <v>0</v>
      </c>
      <c r="F33" s="18">
        <f t="shared" si="13"/>
        <v>0</v>
      </c>
      <c r="G33" s="19">
        <v>0</v>
      </c>
      <c r="H33" s="20">
        <f>G33-'[1]Náklady Výnosy 2008 €'!F31</f>
        <v>0</v>
      </c>
      <c r="I33" s="217">
        <v>0</v>
      </c>
      <c r="J33" s="85">
        <v>0</v>
      </c>
      <c r="K33" s="85">
        <f t="shared" si="6"/>
        <v>0</v>
      </c>
      <c r="L33" s="169">
        <v>0</v>
      </c>
      <c r="M33" s="223"/>
      <c r="N33" s="138"/>
      <c r="O33" s="138">
        <f t="shared" si="10"/>
        <v>0</v>
      </c>
      <c r="P33" s="170">
        <v>0</v>
      </c>
      <c r="Q33" s="233">
        <v>0</v>
      </c>
      <c r="R33" s="137">
        <v>0</v>
      </c>
      <c r="S33" s="85">
        <f t="shared" si="7"/>
        <v>0</v>
      </c>
      <c r="T33" s="28"/>
      <c r="U33" s="28">
        <v>0</v>
      </c>
      <c r="V33" s="28">
        <v>0</v>
      </c>
      <c r="W33" s="28">
        <f t="shared" si="14"/>
        <v>0</v>
      </c>
      <c r="X33" s="19">
        <v>0</v>
      </c>
      <c r="Y33" s="28"/>
      <c r="Z33" s="28"/>
      <c r="AA33" s="28">
        <f t="shared" si="15"/>
        <v>0</v>
      </c>
      <c r="AB33" s="19">
        <v>0</v>
      </c>
      <c r="AC33" s="28">
        <v>0</v>
      </c>
      <c r="AD33" s="90">
        <v>0</v>
      </c>
      <c r="AE33" s="100">
        <f t="shared" si="16"/>
        <v>0</v>
      </c>
      <c r="AF33" s="91"/>
      <c r="AG33" s="28"/>
      <c r="AH33" s="90"/>
      <c r="AI33" s="100"/>
      <c r="AJ33" s="91"/>
      <c r="AK33" s="107">
        <v>0</v>
      </c>
      <c r="AL33" s="107">
        <v>0</v>
      </c>
      <c r="AM33" s="108">
        <f t="shared" si="1"/>
        <v>0</v>
      </c>
      <c r="AN33" s="114">
        <v>0</v>
      </c>
      <c r="AO33" s="124"/>
      <c r="AP33" s="124"/>
      <c r="AQ33" s="124">
        <f t="shared" si="12"/>
        <v>0</v>
      </c>
      <c r="AR33" s="114"/>
      <c r="AS33" s="124">
        <f t="shared" si="20"/>
        <v>0</v>
      </c>
      <c r="AT33" s="124">
        <f t="shared" si="21"/>
        <v>0</v>
      </c>
      <c r="AU33" s="124">
        <f t="shared" si="9"/>
        <v>0</v>
      </c>
      <c r="AV33" s="124">
        <f t="shared" si="5"/>
        <v>0</v>
      </c>
      <c r="AW33" s="114">
        <v>0</v>
      </c>
    </row>
    <row r="34" spans="1:51" ht="15" hidden="1" customHeight="1" thickBot="1" x14ac:dyDescent="0.3">
      <c r="A34" s="15">
        <v>554</v>
      </c>
      <c r="B34" s="16" t="s">
        <v>41</v>
      </c>
      <c r="C34" s="17">
        <v>28</v>
      </c>
      <c r="D34" s="23">
        <v>0</v>
      </c>
      <c r="E34" s="18">
        <v>0</v>
      </c>
      <c r="F34" s="18">
        <f t="shared" si="13"/>
        <v>0</v>
      </c>
      <c r="G34" s="19">
        <v>0</v>
      </c>
      <c r="H34" s="20">
        <f>G34-'[1]Náklady Výnosy 2008 €'!F32</f>
        <v>0</v>
      </c>
      <c r="I34" s="217">
        <v>0</v>
      </c>
      <c r="J34" s="85">
        <v>0</v>
      </c>
      <c r="K34" s="85">
        <f t="shared" si="6"/>
        <v>0</v>
      </c>
      <c r="L34" s="169">
        <v>0</v>
      </c>
      <c r="M34" s="223"/>
      <c r="N34" s="138"/>
      <c r="O34" s="138">
        <f t="shared" si="10"/>
        <v>0</v>
      </c>
      <c r="P34" s="170">
        <v>0</v>
      </c>
      <c r="Q34" s="233">
        <v>0</v>
      </c>
      <c r="R34" s="137">
        <v>0</v>
      </c>
      <c r="S34" s="85">
        <f t="shared" si="7"/>
        <v>0</v>
      </c>
      <c r="T34" s="28"/>
      <c r="U34" s="28">
        <v>0</v>
      </c>
      <c r="V34" s="28">
        <v>0</v>
      </c>
      <c r="W34" s="28">
        <f t="shared" si="14"/>
        <v>0</v>
      </c>
      <c r="X34" s="19">
        <v>0</v>
      </c>
      <c r="Y34" s="28"/>
      <c r="Z34" s="28"/>
      <c r="AA34" s="28">
        <f t="shared" si="15"/>
        <v>0</v>
      </c>
      <c r="AB34" s="19">
        <v>0</v>
      </c>
      <c r="AC34" s="28"/>
      <c r="AD34" s="90"/>
      <c r="AE34" s="100">
        <f t="shared" si="16"/>
        <v>0</v>
      </c>
      <c r="AF34" s="91"/>
      <c r="AG34" s="28"/>
      <c r="AH34" s="90"/>
      <c r="AI34" s="100"/>
      <c r="AJ34" s="91"/>
      <c r="AK34" s="107">
        <v>0</v>
      </c>
      <c r="AL34" s="107">
        <v>0</v>
      </c>
      <c r="AM34" s="108">
        <f t="shared" si="1"/>
        <v>0</v>
      </c>
      <c r="AN34" s="114">
        <v>0</v>
      </c>
      <c r="AO34" s="124"/>
      <c r="AP34" s="124"/>
      <c r="AQ34" s="124">
        <f t="shared" si="12"/>
        <v>0</v>
      </c>
      <c r="AR34" s="114"/>
      <c r="AS34" s="124">
        <f t="shared" si="20"/>
        <v>0</v>
      </c>
      <c r="AT34" s="124">
        <f t="shared" si="21"/>
        <v>0</v>
      </c>
      <c r="AU34" s="124">
        <f t="shared" si="9"/>
        <v>0</v>
      </c>
      <c r="AV34" s="124">
        <f t="shared" si="5"/>
        <v>0</v>
      </c>
      <c r="AW34" s="114">
        <v>0</v>
      </c>
    </row>
    <row r="35" spans="1:51" ht="15" hidden="1" customHeight="1" thickBot="1" x14ac:dyDescent="0.3">
      <c r="A35" s="15">
        <v>555</v>
      </c>
      <c r="B35" s="16" t="s">
        <v>42</v>
      </c>
      <c r="C35" s="17">
        <v>29</v>
      </c>
      <c r="D35" s="23">
        <v>0</v>
      </c>
      <c r="E35" s="18">
        <v>0</v>
      </c>
      <c r="F35" s="18">
        <f t="shared" si="13"/>
        <v>0</v>
      </c>
      <c r="G35" s="19">
        <v>0</v>
      </c>
      <c r="H35" s="20">
        <f>G35-'[1]Náklady Výnosy 2008 €'!F33</f>
        <v>0</v>
      </c>
      <c r="I35" s="217">
        <v>0</v>
      </c>
      <c r="J35" s="85">
        <v>0</v>
      </c>
      <c r="K35" s="85">
        <f t="shared" si="6"/>
        <v>0</v>
      </c>
      <c r="L35" s="169">
        <v>0</v>
      </c>
      <c r="M35" s="225"/>
      <c r="N35" s="138"/>
      <c r="O35" s="138">
        <f t="shared" si="10"/>
        <v>0</v>
      </c>
      <c r="P35" s="170">
        <v>0</v>
      </c>
      <c r="Q35" s="233">
        <v>0</v>
      </c>
      <c r="R35" s="137">
        <v>0</v>
      </c>
      <c r="S35" s="85">
        <f t="shared" si="7"/>
        <v>0</v>
      </c>
      <c r="T35" s="28"/>
      <c r="U35" s="28">
        <v>0</v>
      </c>
      <c r="V35" s="28">
        <v>0</v>
      </c>
      <c r="W35" s="28">
        <f t="shared" si="14"/>
        <v>0</v>
      </c>
      <c r="X35" s="19">
        <v>0</v>
      </c>
      <c r="Y35" s="28"/>
      <c r="Z35" s="28"/>
      <c r="AA35" s="28">
        <f t="shared" si="15"/>
        <v>0</v>
      </c>
      <c r="AB35" s="19">
        <v>0</v>
      </c>
      <c r="AC35" s="28"/>
      <c r="AD35" s="90"/>
      <c r="AE35" s="100">
        <f t="shared" si="16"/>
        <v>0</v>
      </c>
      <c r="AF35" s="91"/>
      <c r="AG35" s="28"/>
      <c r="AH35" s="90"/>
      <c r="AI35" s="100"/>
      <c r="AJ35" s="91"/>
      <c r="AK35" s="107">
        <v>0</v>
      </c>
      <c r="AL35" s="107">
        <v>0</v>
      </c>
      <c r="AM35" s="108">
        <f t="shared" si="1"/>
        <v>0</v>
      </c>
      <c r="AN35" s="114">
        <v>0</v>
      </c>
      <c r="AO35" s="124"/>
      <c r="AP35" s="124"/>
      <c r="AQ35" s="124">
        <f t="shared" si="12"/>
        <v>0</v>
      </c>
      <c r="AR35" s="114"/>
      <c r="AS35" s="124">
        <f t="shared" si="20"/>
        <v>0</v>
      </c>
      <c r="AT35" s="124">
        <f t="shared" si="21"/>
        <v>0</v>
      </c>
      <c r="AU35" s="124">
        <f t="shared" si="9"/>
        <v>0</v>
      </c>
      <c r="AV35" s="124">
        <f t="shared" si="5"/>
        <v>0</v>
      </c>
      <c r="AW35" s="114">
        <v>0</v>
      </c>
    </row>
    <row r="36" spans="1:51" ht="15" customHeight="1" thickBot="1" x14ac:dyDescent="0.3">
      <c r="A36" s="15">
        <v>556</v>
      </c>
      <c r="B36" s="16" t="s">
        <v>43</v>
      </c>
      <c r="C36" s="17">
        <v>30</v>
      </c>
      <c r="D36" s="23">
        <v>889600</v>
      </c>
      <c r="E36" s="18">
        <v>0</v>
      </c>
      <c r="F36" s="18">
        <f t="shared" si="13"/>
        <v>889600</v>
      </c>
      <c r="G36" s="19">
        <v>841966.5</v>
      </c>
      <c r="H36" s="20">
        <f>G36-'[1]Náklady Výnosy 2008 €'!F34</f>
        <v>-2406224.4314213633</v>
      </c>
      <c r="I36" s="217">
        <v>370170</v>
      </c>
      <c r="J36" s="85">
        <v>0</v>
      </c>
      <c r="K36" s="85">
        <f t="shared" si="6"/>
        <v>370170</v>
      </c>
      <c r="L36" s="169">
        <v>269095.73</v>
      </c>
      <c r="M36" s="223">
        <v>450000</v>
      </c>
      <c r="N36" s="138"/>
      <c r="O36" s="138">
        <f t="shared" ref="O36" si="24">SUM(M36:N36)</f>
        <v>450000</v>
      </c>
      <c r="P36" s="170">
        <v>455655</v>
      </c>
      <c r="Q36" s="233">
        <v>300000</v>
      </c>
      <c r="R36" s="137">
        <v>0</v>
      </c>
      <c r="S36" s="85">
        <f t="shared" si="7"/>
        <v>300000</v>
      </c>
      <c r="T36" s="28">
        <v>454194</v>
      </c>
      <c r="U36" s="28">
        <v>230000</v>
      </c>
      <c r="V36" s="28">
        <v>0</v>
      </c>
      <c r="W36" s="28">
        <f t="shared" si="14"/>
        <v>230000</v>
      </c>
      <c r="X36" s="19">
        <v>227524</v>
      </c>
      <c r="Y36" s="28">
        <v>625025</v>
      </c>
      <c r="Z36" s="28"/>
      <c r="AA36" s="28">
        <f t="shared" si="15"/>
        <v>625025</v>
      </c>
      <c r="AB36" s="19">
        <v>389376</v>
      </c>
      <c r="AC36" s="28">
        <v>338685</v>
      </c>
      <c r="AD36" s="90"/>
      <c r="AE36" s="100">
        <f t="shared" si="16"/>
        <v>338685</v>
      </c>
      <c r="AF36" s="91">
        <v>209935</v>
      </c>
      <c r="AG36" s="147">
        <v>51000</v>
      </c>
      <c r="AH36" s="148"/>
      <c r="AI36" s="143">
        <f t="shared" ref="AI36" si="25">AG36+AH36</f>
        <v>51000</v>
      </c>
      <c r="AJ36" s="91">
        <v>51190</v>
      </c>
      <c r="AK36" s="107">
        <v>0</v>
      </c>
      <c r="AL36" s="107">
        <v>0</v>
      </c>
      <c r="AM36" s="108">
        <f t="shared" si="1"/>
        <v>0</v>
      </c>
      <c r="AN36" s="114">
        <v>0</v>
      </c>
      <c r="AO36" s="124"/>
      <c r="AP36" s="124"/>
      <c r="AQ36" s="124">
        <f t="shared" si="12"/>
        <v>0</v>
      </c>
      <c r="AR36" s="114"/>
      <c r="AS36" s="124">
        <f t="shared" si="20"/>
        <v>3254480</v>
      </c>
      <c r="AT36" s="124">
        <f t="shared" si="21"/>
        <v>0</v>
      </c>
      <c r="AU36" s="124">
        <f t="shared" si="9"/>
        <v>3254480</v>
      </c>
      <c r="AV36" s="124">
        <f t="shared" si="5"/>
        <v>2898936.23</v>
      </c>
      <c r="AW36" s="114">
        <v>2570759</v>
      </c>
      <c r="AY36" s="21"/>
    </row>
    <row r="37" spans="1:51" ht="0.75" customHeight="1" thickBot="1" x14ac:dyDescent="0.3">
      <c r="A37" s="15">
        <v>557</v>
      </c>
      <c r="B37" s="16" t="s">
        <v>44</v>
      </c>
      <c r="C37" s="17">
        <v>31</v>
      </c>
      <c r="D37" s="23">
        <v>0</v>
      </c>
      <c r="E37" s="18">
        <v>0</v>
      </c>
      <c r="F37" s="18">
        <f t="shared" si="13"/>
        <v>0</v>
      </c>
      <c r="G37" s="19">
        <v>0</v>
      </c>
      <c r="H37" s="20">
        <f>G37-'[1]Náklady Výnosy 2008 €'!F35</f>
        <v>0</v>
      </c>
      <c r="I37" s="217">
        <v>0</v>
      </c>
      <c r="J37" s="85">
        <v>0</v>
      </c>
      <c r="K37" s="85">
        <f t="shared" si="6"/>
        <v>0</v>
      </c>
      <c r="L37" s="169">
        <v>0</v>
      </c>
      <c r="M37" s="223"/>
      <c r="N37" s="138"/>
      <c r="O37" s="138">
        <f t="shared" ref="O37:O43" si="26">SUM(M37:N37)</f>
        <v>0</v>
      </c>
      <c r="P37" s="170">
        <v>0</v>
      </c>
      <c r="Q37" s="233">
        <v>0</v>
      </c>
      <c r="R37" s="137">
        <v>0</v>
      </c>
      <c r="S37" s="85">
        <f t="shared" si="7"/>
        <v>0</v>
      </c>
      <c r="T37" s="28">
        <v>0</v>
      </c>
      <c r="U37" s="28">
        <v>0</v>
      </c>
      <c r="V37" s="28">
        <v>0</v>
      </c>
      <c r="W37" s="28">
        <f t="shared" si="14"/>
        <v>0</v>
      </c>
      <c r="X37" s="19">
        <v>0</v>
      </c>
      <c r="Y37" s="28"/>
      <c r="Z37" s="28"/>
      <c r="AA37" s="28">
        <f t="shared" si="15"/>
        <v>0</v>
      </c>
      <c r="AB37" s="19">
        <v>0</v>
      </c>
      <c r="AC37" s="28"/>
      <c r="AD37" s="90"/>
      <c r="AE37" s="100">
        <f>SUM(AC37:AD37)</f>
        <v>0</v>
      </c>
      <c r="AF37" s="91"/>
      <c r="AG37" s="28"/>
      <c r="AH37" s="90"/>
      <c r="AI37" s="100"/>
      <c r="AJ37" s="91"/>
      <c r="AK37" s="107">
        <v>0</v>
      </c>
      <c r="AL37" s="107">
        <v>0</v>
      </c>
      <c r="AM37" s="108">
        <f t="shared" si="1"/>
        <v>0</v>
      </c>
      <c r="AN37" s="114">
        <v>0</v>
      </c>
      <c r="AO37" s="124"/>
      <c r="AP37" s="124"/>
      <c r="AQ37" s="124">
        <f t="shared" si="12"/>
        <v>0</v>
      </c>
      <c r="AR37" s="114"/>
      <c r="AS37" s="124">
        <f t="shared" si="20"/>
        <v>0</v>
      </c>
      <c r="AT37" s="124">
        <f t="shared" si="21"/>
        <v>0</v>
      </c>
      <c r="AU37" s="124">
        <f t="shared" si="9"/>
        <v>0</v>
      </c>
      <c r="AV37" s="124">
        <f t="shared" si="5"/>
        <v>0</v>
      </c>
      <c r="AW37" s="114">
        <v>0</v>
      </c>
    </row>
    <row r="38" spans="1:51" ht="15" hidden="1" customHeight="1" thickBot="1" x14ac:dyDescent="0.3">
      <c r="A38" s="15">
        <v>558</v>
      </c>
      <c r="B38" s="16" t="s">
        <v>45</v>
      </c>
      <c r="C38" s="17">
        <v>32</v>
      </c>
      <c r="D38" s="18">
        <v>0</v>
      </c>
      <c r="E38" s="18">
        <v>0</v>
      </c>
      <c r="F38" s="18">
        <f t="shared" si="13"/>
        <v>0</v>
      </c>
      <c r="G38" s="19">
        <v>1699.83</v>
      </c>
      <c r="H38" s="20">
        <f>G38-'[1]Náklady Výnosy 2008 €'!F36</f>
        <v>109314.51498970989</v>
      </c>
      <c r="I38" s="217">
        <v>0</v>
      </c>
      <c r="J38" s="85">
        <v>0</v>
      </c>
      <c r="K38" s="85">
        <f t="shared" si="6"/>
        <v>0</v>
      </c>
      <c r="L38" s="169">
        <v>535.9</v>
      </c>
      <c r="M38" s="223"/>
      <c r="N38" s="138"/>
      <c r="O38" s="138">
        <f t="shared" si="26"/>
        <v>0</v>
      </c>
      <c r="P38" s="170">
        <v>0</v>
      </c>
      <c r="Q38" s="233">
        <v>0</v>
      </c>
      <c r="R38" s="137">
        <v>0</v>
      </c>
      <c r="S38" s="85">
        <f t="shared" si="7"/>
        <v>0</v>
      </c>
      <c r="T38" s="28"/>
      <c r="U38" s="28">
        <v>0</v>
      </c>
      <c r="V38" s="28">
        <v>0</v>
      </c>
      <c r="W38" s="28">
        <f t="shared" si="14"/>
        <v>0</v>
      </c>
      <c r="X38" s="19">
        <v>0</v>
      </c>
      <c r="Y38" s="28"/>
      <c r="Z38" s="28"/>
      <c r="AA38" s="28">
        <f t="shared" si="15"/>
        <v>0</v>
      </c>
      <c r="AB38" s="19">
        <v>297.08</v>
      </c>
      <c r="AC38" s="28">
        <v>0</v>
      </c>
      <c r="AD38" s="90"/>
      <c r="AE38" s="100">
        <f>SUM(AC38:AD38)</f>
        <v>0</v>
      </c>
      <c r="AF38" s="91">
        <v>0</v>
      </c>
      <c r="AG38" s="28"/>
      <c r="AH38" s="90"/>
      <c r="AI38" s="100"/>
      <c r="AJ38" s="91"/>
      <c r="AK38" s="107">
        <v>0</v>
      </c>
      <c r="AL38" s="107">
        <v>0</v>
      </c>
      <c r="AM38" s="108">
        <f t="shared" si="1"/>
        <v>0</v>
      </c>
      <c r="AN38" s="114">
        <v>2064.2199999999998</v>
      </c>
      <c r="AO38" s="124"/>
      <c r="AP38" s="124"/>
      <c r="AQ38" s="124">
        <f t="shared" si="12"/>
        <v>0</v>
      </c>
      <c r="AR38" s="114"/>
      <c r="AS38" s="124">
        <f t="shared" si="20"/>
        <v>0</v>
      </c>
      <c r="AT38" s="124">
        <f t="shared" si="21"/>
        <v>0</v>
      </c>
      <c r="AU38" s="124">
        <f t="shared" si="9"/>
        <v>0</v>
      </c>
      <c r="AV38" s="124">
        <f t="shared" si="5"/>
        <v>4597.03</v>
      </c>
      <c r="AW38" s="114">
        <v>0</v>
      </c>
    </row>
    <row r="39" spans="1:51" ht="15" hidden="1" customHeight="1" thickBot="1" x14ac:dyDescent="0.3">
      <c r="A39" s="15">
        <v>559</v>
      </c>
      <c r="B39" s="16" t="s">
        <v>46</v>
      </c>
      <c r="C39" s="17">
        <v>33</v>
      </c>
      <c r="D39" s="28">
        <v>0</v>
      </c>
      <c r="E39" s="28">
        <v>0</v>
      </c>
      <c r="F39" s="28">
        <f t="shared" si="13"/>
        <v>0</v>
      </c>
      <c r="G39" s="19">
        <v>0</v>
      </c>
      <c r="H39" s="20">
        <f>G39-'[1]Náklady Výnosy 2008 €'!F37</f>
        <v>-47732.855340901544</v>
      </c>
      <c r="I39" s="217">
        <v>0</v>
      </c>
      <c r="J39" s="85">
        <v>0</v>
      </c>
      <c r="K39" s="85">
        <f t="shared" si="6"/>
        <v>0</v>
      </c>
      <c r="L39" s="169">
        <v>0</v>
      </c>
      <c r="M39" s="223"/>
      <c r="N39" s="138"/>
      <c r="O39" s="138"/>
      <c r="P39" s="170">
        <v>0</v>
      </c>
      <c r="Q39" s="233">
        <v>0</v>
      </c>
      <c r="R39" s="137">
        <v>0</v>
      </c>
      <c r="S39" s="85">
        <f t="shared" si="7"/>
        <v>0</v>
      </c>
      <c r="T39" s="28"/>
      <c r="U39" s="28">
        <v>0</v>
      </c>
      <c r="V39" s="28">
        <v>0</v>
      </c>
      <c r="W39" s="28">
        <f t="shared" si="14"/>
        <v>0</v>
      </c>
      <c r="X39" s="19">
        <v>0</v>
      </c>
      <c r="Y39" s="28"/>
      <c r="Z39" s="28"/>
      <c r="AA39" s="28">
        <f t="shared" si="15"/>
        <v>0</v>
      </c>
      <c r="AB39" s="19">
        <v>0</v>
      </c>
      <c r="AC39" s="28">
        <v>0</v>
      </c>
      <c r="AD39" s="90">
        <v>0</v>
      </c>
      <c r="AE39" s="100">
        <v>0</v>
      </c>
      <c r="AF39" s="92">
        <v>0</v>
      </c>
      <c r="AG39" s="28"/>
      <c r="AH39" s="90"/>
      <c r="AI39" s="100"/>
      <c r="AJ39" s="92"/>
      <c r="AK39" s="107">
        <v>0</v>
      </c>
      <c r="AL39" s="107">
        <v>0</v>
      </c>
      <c r="AM39" s="108">
        <f t="shared" si="1"/>
        <v>0</v>
      </c>
      <c r="AN39" s="114">
        <v>0</v>
      </c>
      <c r="AO39" s="124"/>
      <c r="AP39" s="124"/>
      <c r="AQ39" s="124">
        <f t="shared" si="12"/>
        <v>0</v>
      </c>
      <c r="AR39" s="114"/>
      <c r="AS39" s="124">
        <f t="shared" si="20"/>
        <v>0</v>
      </c>
      <c r="AT39" s="124">
        <f t="shared" si="21"/>
        <v>0</v>
      </c>
      <c r="AU39" s="124">
        <f t="shared" si="9"/>
        <v>0</v>
      </c>
      <c r="AV39" s="124">
        <f t="shared" si="5"/>
        <v>0</v>
      </c>
      <c r="AW39" s="114">
        <v>0</v>
      </c>
    </row>
    <row r="40" spans="1:51" ht="15" hidden="1" customHeight="1" thickBot="1" x14ac:dyDescent="0.3">
      <c r="A40" s="15">
        <v>561</v>
      </c>
      <c r="B40" s="16" t="s">
        <v>47</v>
      </c>
      <c r="C40" s="17">
        <v>34</v>
      </c>
      <c r="D40" s="28">
        <v>0</v>
      </c>
      <c r="E40" s="28">
        <v>0</v>
      </c>
      <c r="F40" s="28">
        <f>SUM(D40:E40)</f>
        <v>0</v>
      </c>
      <c r="G40" s="19">
        <v>0</v>
      </c>
      <c r="H40" s="20">
        <f>G40-'[1]Náklady Výnosy 2008 €'!F38</f>
        <v>-531.10270198499632</v>
      </c>
      <c r="I40" s="217">
        <v>0</v>
      </c>
      <c r="J40" s="85">
        <v>0</v>
      </c>
      <c r="K40" s="85">
        <f t="shared" si="6"/>
        <v>0</v>
      </c>
      <c r="L40" s="169">
        <v>0</v>
      </c>
      <c r="M40" s="223"/>
      <c r="N40" s="138"/>
      <c r="O40" s="138">
        <f t="shared" si="26"/>
        <v>0</v>
      </c>
      <c r="P40" s="170">
        <v>0</v>
      </c>
      <c r="Q40" s="233">
        <v>0</v>
      </c>
      <c r="R40" s="137">
        <v>0</v>
      </c>
      <c r="S40" s="85">
        <f t="shared" si="7"/>
        <v>0</v>
      </c>
      <c r="T40" s="28"/>
      <c r="U40" s="28">
        <v>0</v>
      </c>
      <c r="V40" s="28">
        <v>0</v>
      </c>
      <c r="W40" s="28">
        <f>SUM(U40:V40)</f>
        <v>0</v>
      </c>
      <c r="X40" s="19">
        <v>0</v>
      </c>
      <c r="Y40" s="28"/>
      <c r="Z40" s="28"/>
      <c r="AA40" s="28">
        <f>SUM(Y40:Z40)</f>
        <v>0</v>
      </c>
      <c r="AB40" s="19">
        <v>0</v>
      </c>
      <c r="AC40" s="28">
        <v>0</v>
      </c>
      <c r="AD40" s="90">
        <v>0</v>
      </c>
      <c r="AE40" s="100">
        <v>0</v>
      </c>
      <c r="AF40" s="92">
        <v>0</v>
      </c>
      <c r="AG40" s="28"/>
      <c r="AH40" s="90"/>
      <c r="AI40" s="100"/>
      <c r="AJ40" s="92"/>
      <c r="AK40" s="107">
        <v>0</v>
      </c>
      <c r="AL40" s="107">
        <v>0</v>
      </c>
      <c r="AM40" s="108">
        <f t="shared" si="1"/>
        <v>0</v>
      </c>
      <c r="AN40" s="114">
        <v>0</v>
      </c>
      <c r="AO40" s="124"/>
      <c r="AP40" s="124"/>
      <c r="AQ40" s="124">
        <f t="shared" si="12"/>
        <v>0</v>
      </c>
      <c r="AR40" s="114"/>
      <c r="AS40" s="124">
        <f t="shared" si="20"/>
        <v>0</v>
      </c>
      <c r="AT40" s="124">
        <f t="shared" si="21"/>
        <v>0</v>
      </c>
      <c r="AU40" s="124">
        <f t="shared" si="9"/>
        <v>0</v>
      </c>
      <c r="AV40" s="124">
        <f t="shared" si="5"/>
        <v>0</v>
      </c>
      <c r="AW40" s="114">
        <v>0</v>
      </c>
    </row>
    <row r="41" spans="1:51" ht="15" customHeight="1" thickBot="1" x14ac:dyDescent="0.3">
      <c r="A41" s="15">
        <v>562</v>
      </c>
      <c r="B41" s="16" t="s">
        <v>48</v>
      </c>
      <c r="C41" s="17">
        <v>35</v>
      </c>
      <c r="D41" s="28">
        <v>0</v>
      </c>
      <c r="E41" s="28">
        <v>0</v>
      </c>
      <c r="F41" s="28">
        <f>SUM(D41:E41)</f>
        <v>0</v>
      </c>
      <c r="G41" s="19">
        <v>0</v>
      </c>
      <c r="H41" s="20">
        <f>G41-'[1]Náklady Výnosy 2008 €'!F39</f>
        <v>-60811.259377282076</v>
      </c>
      <c r="I41" s="217">
        <v>1311</v>
      </c>
      <c r="J41" s="85">
        <v>0</v>
      </c>
      <c r="K41" s="85">
        <f t="shared" si="6"/>
        <v>1311</v>
      </c>
      <c r="L41" s="169">
        <v>6765</v>
      </c>
      <c r="M41" s="223"/>
      <c r="N41" s="138"/>
      <c r="O41" s="138">
        <f t="shared" si="26"/>
        <v>0</v>
      </c>
      <c r="P41" s="170">
        <v>0</v>
      </c>
      <c r="Q41" s="233">
        <v>0</v>
      </c>
      <c r="R41" s="137">
        <v>0</v>
      </c>
      <c r="S41" s="85">
        <f t="shared" si="7"/>
        <v>0</v>
      </c>
      <c r="T41" s="28"/>
      <c r="U41" s="28">
        <v>0</v>
      </c>
      <c r="V41" s="28">
        <v>0</v>
      </c>
      <c r="W41" s="28">
        <f>SUM(U41:V41)</f>
        <v>0</v>
      </c>
      <c r="X41" s="19">
        <v>0</v>
      </c>
      <c r="Y41" s="28">
        <v>0</v>
      </c>
      <c r="Z41" s="28"/>
      <c r="AA41" s="28">
        <f>SUM(Y41:Z41)</f>
        <v>0</v>
      </c>
      <c r="AB41" s="19">
        <v>0</v>
      </c>
      <c r="AC41" s="28">
        <v>10466</v>
      </c>
      <c r="AD41" s="90"/>
      <c r="AE41" s="101">
        <v>10466</v>
      </c>
      <c r="AF41" s="92">
        <v>29643</v>
      </c>
      <c r="AG41" s="147">
        <v>411712</v>
      </c>
      <c r="AH41" s="148"/>
      <c r="AI41" s="143">
        <f t="shared" ref="AI41" si="27">AG41+AH41</f>
        <v>411712</v>
      </c>
      <c r="AJ41" s="92">
        <v>379723</v>
      </c>
      <c r="AK41" s="107">
        <v>0</v>
      </c>
      <c r="AL41" s="107">
        <v>0</v>
      </c>
      <c r="AM41" s="108">
        <f t="shared" si="1"/>
        <v>0</v>
      </c>
      <c r="AN41" s="114">
        <v>0</v>
      </c>
      <c r="AO41" s="124"/>
      <c r="AP41" s="124"/>
      <c r="AQ41" s="124">
        <f t="shared" si="12"/>
        <v>0</v>
      </c>
      <c r="AR41" s="114"/>
      <c r="AS41" s="124">
        <f t="shared" si="20"/>
        <v>423489</v>
      </c>
      <c r="AT41" s="124">
        <f t="shared" si="21"/>
        <v>0</v>
      </c>
      <c r="AU41" s="124">
        <f t="shared" si="9"/>
        <v>423489</v>
      </c>
      <c r="AV41" s="124">
        <f t="shared" si="5"/>
        <v>416131</v>
      </c>
      <c r="AW41" s="114">
        <v>152182</v>
      </c>
      <c r="AY41" s="21"/>
    </row>
    <row r="42" spans="1:51" ht="15" hidden="1" customHeight="1" thickBot="1" x14ac:dyDescent="0.3">
      <c r="A42" s="15">
        <v>563</v>
      </c>
      <c r="B42" s="16" t="s">
        <v>49</v>
      </c>
      <c r="C42" s="17">
        <v>36</v>
      </c>
      <c r="D42" s="28">
        <v>0</v>
      </c>
      <c r="E42" s="28">
        <v>0</v>
      </c>
      <c r="F42" s="28">
        <v>0</v>
      </c>
      <c r="G42" s="29">
        <v>0</v>
      </c>
      <c r="H42" s="20">
        <f>G42-'[1]Náklady Výnosy 2008 €'!F40</f>
        <v>0</v>
      </c>
      <c r="I42" s="217">
        <v>0</v>
      </c>
      <c r="J42" s="85">
        <v>0</v>
      </c>
      <c r="K42" s="85">
        <f t="shared" si="6"/>
        <v>0</v>
      </c>
      <c r="L42" s="169">
        <v>0</v>
      </c>
      <c r="M42" s="223"/>
      <c r="N42" s="138"/>
      <c r="O42" s="138">
        <f t="shared" si="26"/>
        <v>0</v>
      </c>
      <c r="P42" s="170">
        <v>0</v>
      </c>
      <c r="Q42" s="222">
        <v>0</v>
      </c>
      <c r="R42" s="137">
        <v>0</v>
      </c>
      <c r="S42" s="85">
        <f t="shared" si="7"/>
        <v>0</v>
      </c>
      <c r="T42" s="28"/>
      <c r="U42" s="28">
        <v>0</v>
      </c>
      <c r="V42" s="28">
        <v>0</v>
      </c>
      <c r="W42" s="28">
        <v>0</v>
      </c>
      <c r="X42" s="29">
        <v>0</v>
      </c>
      <c r="Y42" s="28">
        <v>0</v>
      </c>
      <c r="Z42" s="28">
        <v>0</v>
      </c>
      <c r="AA42" s="28">
        <v>0</v>
      </c>
      <c r="AB42" s="29">
        <v>0</v>
      </c>
      <c r="AC42" s="31">
        <f>SUM(AC7:AC41)</f>
        <v>2750127</v>
      </c>
      <c r="AD42" s="93">
        <f>SUM(AD7:AD40)</f>
        <v>27246</v>
      </c>
      <c r="AE42" s="94">
        <f>SUM(AE7:AE41)</f>
        <v>2777373</v>
      </c>
      <c r="AF42" s="95">
        <f>SUM(AF7:AF40)</f>
        <v>3772372.6100000003</v>
      </c>
      <c r="AG42" s="31"/>
      <c r="AH42" s="93"/>
      <c r="AI42" s="94"/>
      <c r="AJ42" s="95"/>
      <c r="AK42" s="107">
        <v>0</v>
      </c>
      <c r="AL42" s="107">
        <v>0</v>
      </c>
      <c r="AM42" s="108">
        <f t="shared" si="1"/>
        <v>0</v>
      </c>
      <c r="AN42" s="114">
        <v>0</v>
      </c>
      <c r="AO42" s="124"/>
      <c r="AP42" s="124"/>
      <c r="AQ42" s="124">
        <f t="shared" si="12"/>
        <v>0</v>
      </c>
      <c r="AR42" s="114"/>
      <c r="AS42" s="124">
        <f t="shared" si="20"/>
        <v>2750127</v>
      </c>
      <c r="AT42" s="124">
        <f t="shared" si="21"/>
        <v>27246</v>
      </c>
      <c r="AU42" s="124">
        <f>AS42+AT42</f>
        <v>2777373</v>
      </c>
      <c r="AV42" s="124">
        <f t="shared" si="5"/>
        <v>3772372.6100000003</v>
      </c>
      <c r="AW42" s="114">
        <v>0</v>
      </c>
    </row>
    <row r="43" spans="1:51" ht="15" hidden="1" customHeight="1" x14ac:dyDescent="0.25">
      <c r="A43" s="15">
        <v>567</v>
      </c>
      <c r="B43" s="16" t="s">
        <v>50</v>
      </c>
      <c r="C43" s="17">
        <v>37</v>
      </c>
      <c r="D43" s="28">
        <v>0</v>
      </c>
      <c r="E43" s="28">
        <v>0</v>
      </c>
      <c r="F43" s="28">
        <v>0</v>
      </c>
      <c r="G43" s="29">
        <v>0</v>
      </c>
      <c r="H43" s="20">
        <f>G43-'[1]Náklady Výnosy 2008 €'!F41</f>
        <v>0</v>
      </c>
      <c r="I43" s="217">
        <v>0</v>
      </c>
      <c r="J43" s="85">
        <v>0</v>
      </c>
      <c r="K43" s="85">
        <f t="shared" si="6"/>
        <v>0</v>
      </c>
      <c r="L43" s="169">
        <v>0</v>
      </c>
      <c r="M43" s="223"/>
      <c r="N43" s="138"/>
      <c r="O43" s="138">
        <f t="shared" si="26"/>
        <v>0</v>
      </c>
      <c r="P43" s="170">
        <v>0</v>
      </c>
      <c r="Q43" s="222">
        <v>0</v>
      </c>
      <c r="R43" s="137">
        <v>0</v>
      </c>
      <c r="S43" s="85">
        <f t="shared" si="7"/>
        <v>0</v>
      </c>
      <c r="T43" s="28"/>
      <c r="U43" s="28">
        <v>0</v>
      </c>
      <c r="V43" s="28">
        <v>0</v>
      </c>
      <c r="W43" s="28">
        <v>0</v>
      </c>
      <c r="X43" s="29">
        <v>0</v>
      </c>
      <c r="Y43" s="28">
        <v>0</v>
      </c>
      <c r="Z43" s="28">
        <v>0</v>
      </c>
      <c r="AA43" s="28">
        <v>0</v>
      </c>
      <c r="AB43" s="29">
        <v>0</v>
      </c>
      <c r="AK43" s="110">
        <v>0</v>
      </c>
      <c r="AL43" s="110">
        <v>0</v>
      </c>
      <c r="AM43" s="111">
        <f t="shared" si="1"/>
        <v>0</v>
      </c>
      <c r="AN43" s="116">
        <v>0</v>
      </c>
      <c r="AO43" s="125"/>
      <c r="AP43" s="125"/>
      <c r="AQ43" s="125">
        <f>SUM(AO44:AP44)</f>
        <v>771966</v>
      </c>
      <c r="AR43" s="116"/>
      <c r="AS43" s="125">
        <f t="shared" si="20"/>
        <v>0</v>
      </c>
      <c r="AT43" s="125">
        <f t="shared" si="21"/>
        <v>0</v>
      </c>
      <c r="AU43" s="125">
        <f t="shared" si="9"/>
        <v>0</v>
      </c>
      <c r="AV43" s="124">
        <f t="shared" si="5"/>
        <v>0</v>
      </c>
      <c r="AW43" s="116">
        <v>0</v>
      </c>
    </row>
    <row r="44" spans="1:51" ht="22.15" customHeight="1" x14ac:dyDescent="0.25">
      <c r="A44" s="262" t="s">
        <v>51</v>
      </c>
      <c r="B44" s="262"/>
      <c r="C44" s="30">
        <v>38</v>
      </c>
      <c r="D44" s="31">
        <f>SUM(D7:D43)</f>
        <v>13101770</v>
      </c>
      <c r="E44" s="31">
        <f>SUM(E7:E43)</f>
        <v>855360</v>
      </c>
      <c r="F44" s="31">
        <f>SUM(F7:F43)</f>
        <v>13957130</v>
      </c>
      <c r="G44" s="128">
        <f>G7+G8+G10+G11+G12+G13+G14+G15+G16+G17+G18+G19+G20+G21+G30+G31+G36</f>
        <v>14412142.369999999</v>
      </c>
      <c r="H44" s="20">
        <f>G44-'[1]Náklady Výnosy 2008 €'!F42</f>
        <v>-69439945.527497187</v>
      </c>
      <c r="I44" s="218">
        <f>SUM(I7:I43)</f>
        <v>6533595</v>
      </c>
      <c r="J44" s="129">
        <f>J7+J8+J9+J10+J11+J12+J13+J14+J15+J16+J17+J18+J19+J20+J21+J28+J30+J31+J36+J41</f>
        <v>212827</v>
      </c>
      <c r="K44" s="129">
        <f>SUM(K7:K43)</f>
        <v>6746422</v>
      </c>
      <c r="L44" s="178">
        <f>L7+L8+L10+L11+L12+L13+L14+L15+L16+L17+L18+L19+L20+L21+L30+L31+L36+L41</f>
        <v>7393353.7999999989</v>
      </c>
      <c r="M44" s="226">
        <f>M7+M8+M10+M11+M12+M13+M14+M15+M16+M17+M28+M30+M31+M36</f>
        <v>10452052</v>
      </c>
      <c r="N44" s="179">
        <f>N7+N8+N11+N12+N13+N14+N15+N20+N30+N31</f>
        <v>391900</v>
      </c>
      <c r="O44" s="174">
        <f>SUM(O7:O41)</f>
        <v>10843952</v>
      </c>
      <c r="P44" s="180">
        <f>P7+P8+P10+P11+P12+P13+P14+P15+P16+P17+P18+P19+P20+P21+P28+P30+P31+P36</f>
        <v>14817700.050000003</v>
      </c>
      <c r="Q44" s="222">
        <f>Q7+Q8+Q10+Q11+Q12+Q13+Q14+Q15+Q16+Q17+Q20+Q21+Q30+Q31+Q36</f>
        <v>16184946.82</v>
      </c>
      <c r="R44" s="181">
        <v>480624.17</v>
      </c>
      <c r="S44" s="129">
        <f t="shared" si="7"/>
        <v>16665570.99</v>
      </c>
      <c r="T44" s="102">
        <f>T7+T8+T10+T11+T12+T13+T14+T15+T16+T17+T19+T20+T21+T28+T30+T31+T36</f>
        <v>16297197</v>
      </c>
      <c r="U44" s="31">
        <f t="shared" ref="U44:AA44" si="28">SUM(U7:U43)</f>
        <v>4894250</v>
      </c>
      <c r="V44" s="31">
        <f t="shared" si="28"/>
        <v>26314</v>
      </c>
      <c r="W44" s="31">
        <f t="shared" si="28"/>
        <v>4920564</v>
      </c>
      <c r="X44" s="57">
        <f>X7+X8+X10+X11+X12+X13+X14+X15+X16+X17+X20+X21+X30+X31+X36</f>
        <v>4809871.1400000006</v>
      </c>
      <c r="Y44" s="31">
        <f t="shared" si="28"/>
        <v>14164784</v>
      </c>
      <c r="Z44" s="31">
        <f t="shared" si="28"/>
        <v>251533.98</v>
      </c>
      <c r="AA44" s="31">
        <f t="shared" si="28"/>
        <v>14416317.98</v>
      </c>
      <c r="AB44" s="57">
        <f>AB7+AB8+AB9+AB10+AB11+AB12+AB13+AB14+AB15+AB16+AB17+AB19+AB20+AB21+AB30+AB31+AB36</f>
        <v>13542112.610000001</v>
      </c>
      <c r="AC44" s="96">
        <f>AC7+AC8+AC10+AC11+AC12+AC13+AC14+AC15+AC16+AC17+AC20+AC21+AC30+AC31+AC36+AC41</f>
        <v>2750127</v>
      </c>
      <c r="AD44" s="96">
        <f>AD7+AD8+AD10+AD11+AD12+AD13+AD14+AD15+AD16+AD17+AD20+AD21+AD30+AD29+AD36+AD41</f>
        <v>27246</v>
      </c>
      <c r="AE44" s="96">
        <f>AE7+AE8+AE9+AE10+AE11+AE12+AE13+AE14+AE15+AE16+AE17+AE20+AE21+AE30+AE31+AE36+AE41</f>
        <v>2777373</v>
      </c>
      <c r="AF44" s="96">
        <f>AF7+AF8+AF10+AF11+AF12+AF13+AF14+AF15+AF16+AF17+AF20+AF21+AF28+AF30+AF31+AF36+AF41</f>
        <v>3683084.0800000005</v>
      </c>
      <c r="AG44" s="96">
        <f>AG7+AG8+AG9+AG10+AG11+AG12+AG13+AG14+AG15+AG16+AG17+AG18+AG19+AG20+AG21+AG30+AG31+AG36+AG41</f>
        <v>13342317</v>
      </c>
      <c r="AH44" s="96">
        <f t="shared" ref="AH44:AI44" si="29">AH7+AH8+AH9+AH10+AH11+AH12+AH13+AH14+AH15+AH16+AH17+AH18+AH19+AH20+AH21+AH30+AH31+AH36+AH41</f>
        <v>1414369</v>
      </c>
      <c r="AI44" s="96">
        <f t="shared" si="29"/>
        <v>14756686</v>
      </c>
      <c r="AJ44" s="96">
        <f>AJ7+AJ8+AJ9+AJ10+AJ11+AJ12+AJ13+AJ14+AJ15+AJ16+AJ17+AJ19+AJ20+AJ21+AJ30+AJ31+AJ36+AJ41</f>
        <v>15012220.130000001</v>
      </c>
      <c r="AK44" s="123">
        <f>SUM(AK7:AK43)</f>
        <v>7505094</v>
      </c>
      <c r="AL44" s="123">
        <f>SUM(AL7:AL43)</f>
        <v>1187960</v>
      </c>
      <c r="AM44" s="123">
        <f>SUM(AM7:AM43)</f>
        <v>8693054</v>
      </c>
      <c r="AN44" s="123">
        <f>AN7+AN8+AN9+AN10+AN11+AN12+AN13+AN14+AN15+AN16+AN17+AN19+AN20+AN21+AN30+AN31</f>
        <v>6919324.8999999985</v>
      </c>
      <c r="AO44" s="127">
        <f>AO31</f>
        <v>118200</v>
      </c>
      <c r="AP44" s="96">
        <f>AP7+AP8+AP9+AP10+AP11+AP12+AP13+AP14+AP15+AP16+AP17+AP18+AP19+AP20+AP21+AP30+AP31</f>
        <v>653766</v>
      </c>
      <c r="AQ44" s="96">
        <f t="shared" ref="AQ44" si="30">AQ7+AQ8+AQ9+AQ10+AQ11+AQ12+AQ13+AQ14+AQ15+AQ16+AQ17+AQ18+AQ19+AQ20+AQ21+AQ30+AQ31</f>
        <v>771966</v>
      </c>
      <c r="AR44" s="96">
        <f>AR7+AR8+AR10+AR11+AR12+AR13+AR14+AR15+AR16+AR17+AR19+AR20+AR21+AR30+AR31</f>
        <v>798290.21</v>
      </c>
      <c r="AS44" s="127">
        <f t="shared" si="20"/>
        <v>89047135.819999993</v>
      </c>
      <c r="AT44" s="127">
        <f t="shared" si="21"/>
        <v>5501900.1500000004</v>
      </c>
      <c r="AU44" s="127">
        <f t="shared" si="9"/>
        <v>94549035.969999999</v>
      </c>
      <c r="AV44" s="127">
        <f>AV7+AV8+AV9+AV10+AV11+AV12+AV13+AV14+AV15+AV16+AV17+AV18+AV19+AV20+AV21+AV28+AV30+AV31+AV36+AV41</f>
        <v>97685296.290000007</v>
      </c>
      <c r="AW44" s="177">
        <v>93809395</v>
      </c>
    </row>
    <row r="45" spans="1:51" s="22" customFormat="1" ht="15" hidden="1" customHeight="1" x14ac:dyDescent="0.25">
      <c r="A45" s="265" t="s">
        <v>52</v>
      </c>
      <c r="B45" s="265"/>
      <c r="C45" s="32">
        <v>994</v>
      </c>
      <c r="D45" s="28">
        <f>SUM(D7:D44)</f>
        <v>26203540</v>
      </c>
      <c r="E45" s="28">
        <f>SUM(E7:E44)</f>
        <v>1710720</v>
      </c>
      <c r="F45" s="28">
        <f>SUM(F7:F44)</f>
        <v>27914260</v>
      </c>
      <c r="G45" s="29">
        <f>SUM(G7:G44)</f>
        <v>28826693.399999999</v>
      </c>
      <c r="H45" s="20">
        <f>G45-'[1]Náklady Výnosy 2008 €'!F43</f>
        <v>-138877482.39499438</v>
      </c>
      <c r="M45" s="139">
        <f>SUM(M7:M43)</f>
        <v>10452052</v>
      </c>
      <c r="N45" s="139">
        <f>SUM(N7:N43)</f>
        <v>391900</v>
      </c>
      <c r="O45" s="139">
        <f>SUM(O7:O44)</f>
        <v>21687904</v>
      </c>
      <c r="P45" s="141">
        <f>SUM(P7:P42)</f>
        <v>14818447.880000003</v>
      </c>
      <c r="S45" s="85">
        <f t="shared" si="7"/>
        <v>0</v>
      </c>
      <c r="AK45" s="112">
        <f>SUM(AK7:AK44)</f>
        <v>15010188</v>
      </c>
      <c r="AL45" s="112">
        <f>SUM(AL7:AL44)</f>
        <v>2375920</v>
      </c>
      <c r="AM45" s="112">
        <f>SUM(AM7:AM44)</f>
        <v>17386108</v>
      </c>
      <c r="AO45" s="126">
        <f>SUM(AO7:AO43)</f>
        <v>118200</v>
      </c>
      <c r="AP45" s="126">
        <f>SUM(AP7:AP42)</f>
        <v>653766</v>
      </c>
      <c r="AQ45" s="126">
        <f>SUM(AQ7:AQ42)</f>
        <v>771966</v>
      </c>
      <c r="AS45" s="126"/>
      <c r="AT45" s="126"/>
      <c r="AU45" s="176">
        <f t="shared" si="9"/>
        <v>0</v>
      </c>
      <c r="AV45" s="207"/>
    </row>
    <row r="46" spans="1:51" s="36" customFormat="1" ht="13.9" customHeight="1" x14ac:dyDescent="0.2">
      <c r="A46" s="33"/>
      <c r="B46" s="34"/>
      <c r="C46" s="33"/>
      <c r="D46" s="35"/>
      <c r="E46" s="35"/>
      <c r="F46" s="37">
        <f>D44+E44</f>
        <v>13957130</v>
      </c>
      <c r="G46" s="37">
        <f>G7+G8+G9+G10+G11+G12+G13+G14+G15+G16+G17+G18+G19+G20+G21+G30+G31+G36</f>
        <v>14412142.369999999</v>
      </c>
      <c r="H46" s="37"/>
      <c r="I46" s="154">
        <f>I7+I8+I10+I11+I12+I13+I14+I15+I16+I17+I19+I20++I21+I26+I30+I31+I36+I41</f>
        <v>6533595</v>
      </c>
      <c r="J46" s="154">
        <f>J7+J8+J10+J11+J12+J13+J14+J15+J16+J17+J18+J19+J30</f>
        <v>212827</v>
      </c>
      <c r="K46" s="154">
        <f>K7+K8+K10+K11+K12+K13+K14+K15+K16+K17+K18+K19+K20+K21+K26+K30+K31+K36+K41</f>
        <v>6746422</v>
      </c>
      <c r="L46" s="37">
        <f>L7+L8+L10+L11+L12+L13+L14+L15+L16+L17+L18+L19+L20+L21+L30+L31+L36+L41</f>
        <v>7393353.7999999989</v>
      </c>
      <c r="M46" s="37">
        <f>M7+M8+M10+M11+M12+M13+M14+M15+M16+M17+M28+M30+M31+M36</f>
        <v>10452052</v>
      </c>
      <c r="N46" s="37">
        <f>N7+N8+N11+N12+N13+N14+N15+N20+N30+N31</f>
        <v>391900</v>
      </c>
      <c r="O46" s="37">
        <f>SUM(O7:O41)</f>
        <v>10843952</v>
      </c>
      <c r="P46" s="154">
        <f>P7+P8+P10+P11+P12+P13+P14+P15+P16+P17+P18+P19+P20+P21+P28+P30+P31+P36</f>
        <v>14817700.050000003</v>
      </c>
      <c r="Q46" s="154">
        <f>Q7+Q8+Q10+Q11+Q12+Q13+Q14+Q15+Q16+Q17+Q20+Q21+Q30+Q31+Q36</f>
        <v>16184946.82</v>
      </c>
      <c r="R46" s="154">
        <f>R7+R10+R13+R14+R15+R19+R30+R31</f>
        <v>480624.17</v>
      </c>
      <c r="S46" s="154">
        <f>Q46+R46</f>
        <v>16665570.99</v>
      </c>
      <c r="X46" s="37">
        <f>X7+X8+X10+X11+X12+X13+X14+X15+X16+X17+X20+X21+X30+X31+X36</f>
        <v>4809871.1400000006</v>
      </c>
      <c r="AB46" s="37">
        <f>AB7+AB8+AB9+AB10+AB12+AB11+AB13+AB14+AB15+AB16+AB17+AB19+AB20+AB21+AB30+AB31+AB36</f>
        <v>13542112.610000001</v>
      </c>
      <c r="AC46" s="37">
        <f>AC44-2750127</f>
        <v>0</v>
      </c>
      <c r="AE46" s="37">
        <f>AE7+AE8+AE9+AE10+AE11+AE12+AE13+AE14+AE15+AE16+AE17+AE20+AE21+AE30+AE31+AE36+AE41</f>
        <v>2777373</v>
      </c>
      <c r="AF46" s="37">
        <f>AF7+AF8+AF10+AF11+AF12+AF13+AF14+AF15+AF16+AF17+AF20+AF21+AF28+AF30+AF31+AF36+AF41</f>
        <v>3683084.0800000005</v>
      </c>
      <c r="AK46" s="113"/>
      <c r="AL46" s="113"/>
      <c r="AM46" s="113"/>
      <c r="AS46" s="154">
        <f>AO44+AK44+AG44+AC44+Y44+U44+Q44+M44+I44+D44</f>
        <v>89047135.819999993</v>
      </c>
      <c r="AT46" s="154">
        <f>AP44+AL44+AH44+AD44+Z44+V44+R44+N44+J44+E44</f>
        <v>5501900.1500000004</v>
      </c>
      <c r="AU46" s="37">
        <f>AS44+AT44</f>
        <v>94549035.969999999</v>
      </c>
      <c r="AV46" s="37">
        <f>G44+L44+P44+T44+X44+AB44+AF44+AJ44+AN44+AR44</f>
        <v>97685296.289999977</v>
      </c>
    </row>
    <row r="47" spans="1:51" s="44" customFormat="1" ht="15" customHeight="1" x14ac:dyDescent="0.2">
      <c r="A47" s="38"/>
      <c r="B47" s="39"/>
      <c r="C47" s="40"/>
      <c r="D47" s="41"/>
      <c r="E47" s="41"/>
      <c r="F47" s="41">
        <f>F7+F8+F10+F11+F12+F13+F14+F15+F16+F17+F18+F19+F20+F21+F30+F31+F36</f>
        <v>13957130</v>
      </c>
      <c r="G47" s="42"/>
      <c r="H47" s="43"/>
      <c r="J47" s="171"/>
      <c r="K47" s="171">
        <f>I46+J46</f>
        <v>6746422</v>
      </c>
      <c r="N47" s="172">
        <f>N7+N8+N11+N12+N13+N14+N15+N20+N30+N31</f>
        <v>391900</v>
      </c>
      <c r="O47" s="172">
        <f>M46+N46</f>
        <v>10843952</v>
      </c>
      <c r="R47" s="171"/>
      <c r="S47" s="171">
        <f>Q46+R46</f>
        <v>16665570.99</v>
      </c>
      <c r="AK47" s="117"/>
      <c r="AL47" s="117"/>
      <c r="AM47" s="117"/>
      <c r="AT47" s="172">
        <f>AT7+AT8+AT9+AT10+AT11+AT12+AT13+AT14+AT15+AT16+AT17+AT18+AT19+AT20+AT21+AT28+AT30+AT31</f>
        <v>5501900.1500000004</v>
      </c>
      <c r="AU47" s="171">
        <f>AT47-AT46</f>
        <v>0</v>
      </c>
      <c r="AV47" s="172">
        <f>AV46-AU46</f>
        <v>3136260.3199999779</v>
      </c>
    </row>
    <row r="48" spans="1:51" ht="12.75" customHeight="1" x14ac:dyDescent="0.2">
      <c r="B48" s="39"/>
      <c r="D48" s="45"/>
      <c r="E48" s="45"/>
      <c r="F48" s="45"/>
      <c r="AK48" s="271"/>
      <c r="AL48" s="272"/>
      <c r="AM48" s="272"/>
      <c r="AT48" s="155">
        <f>AP44+AL44+AH44+AD44+Z44+V44+R44+N44+J44+E44</f>
        <v>5501900.1500000004</v>
      </c>
    </row>
    <row r="49" spans="1:50" ht="13.9" customHeight="1" x14ac:dyDescent="0.2">
      <c r="B49" s="47"/>
      <c r="D49" s="48"/>
      <c r="E49" s="48"/>
      <c r="F49" s="48"/>
      <c r="G49" s="49"/>
      <c r="H49" s="20"/>
      <c r="AK49" s="118"/>
      <c r="AL49" s="118"/>
      <c r="AM49" s="118"/>
    </row>
    <row r="50" spans="1:50" s="8" customFormat="1" ht="13.5" customHeight="1" x14ac:dyDescent="0.2">
      <c r="A50" s="266" t="s">
        <v>5</v>
      </c>
      <c r="B50" s="266" t="s">
        <v>53</v>
      </c>
      <c r="C50" s="266" t="s">
        <v>54</v>
      </c>
      <c r="D50" s="248" t="s">
        <v>8</v>
      </c>
      <c r="E50" s="248"/>
      <c r="F50" s="248"/>
      <c r="G50" s="247" t="s">
        <v>9</v>
      </c>
      <c r="H50" s="20" t="e">
        <f>G50-'[1]Náklady Výnosy 2008 €'!F47</f>
        <v>#VALUE!</v>
      </c>
      <c r="I50" s="259" t="s">
        <v>8</v>
      </c>
      <c r="J50" s="248"/>
      <c r="K50" s="248"/>
      <c r="L50" s="247" t="s">
        <v>9</v>
      </c>
      <c r="M50" s="259" t="s">
        <v>8</v>
      </c>
      <c r="N50" s="248"/>
      <c r="O50" s="248"/>
      <c r="P50" s="247" t="s">
        <v>9</v>
      </c>
      <c r="Q50" s="256" t="s">
        <v>8</v>
      </c>
      <c r="R50" s="257"/>
      <c r="S50" s="258"/>
      <c r="T50" s="247" t="s">
        <v>9</v>
      </c>
      <c r="U50" s="248" t="s">
        <v>8</v>
      </c>
      <c r="V50" s="248"/>
      <c r="W50" s="248"/>
      <c r="X50" s="247" t="s">
        <v>9</v>
      </c>
      <c r="Y50" s="248" t="s">
        <v>8</v>
      </c>
      <c r="Z50" s="248"/>
      <c r="AA50" s="248"/>
      <c r="AB50" s="247" t="s">
        <v>9</v>
      </c>
      <c r="AC50" s="248" t="s">
        <v>8</v>
      </c>
      <c r="AD50" s="248"/>
      <c r="AE50" s="248"/>
      <c r="AF50" s="251" t="s">
        <v>9</v>
      </c>
      <c r="AG50" s="248" t="s">
        <v>8</v>
      </c>
      <c r="AH50" s="248"/>
      <c r="AI50" s="248"/>
      <c r="AJ50" s="251" t="s">
        <v>9</v>
      </c>
      <c r="AK50" s="248" t="s">
        <v>8</v>
      </c>
      <c r="AL50" s="248"/>
      <c r="AM50" s="248"/>
      <c r="AN50" s="251" t="s">
        <v>9</v>
      </c>
      <c r="AO50" s="248" t="s">
        <v>8</v>
      </c>
      <c r="AP50" s="248"/>
      <c r="AQ50" s="248"/>
      <c r="AR50" s="251" t="s">
        <v>9</v>
      </c>
      <c r="AS50" s="244" t="s">
        <v>8</v>
      </c>
      <c r="AT50" s="245"/>
      <c r="AU50" s="246"/>
      <c r="AV50" s="198"/>
      <c r="AW50" s="247" t="s">
        <v>104</v>
      </c>
    </row>
    <row r="51" spans="1:50" s="8" customFormat="1" ht="23.25" customHeight="1" x14ac:dyDescent="0.2">
      <c r="A51" s="266"/>
      <c r="B51" s="266"/>
      <c r="C51" s="266"/>
      <c r="D51" s="9" t="s">
        <v>11</v>
      </c>
      <c r="E51" s="9" t="s">
        <v>12</v>
      </c>
      <c r="F51" s="9" t="s">
        <v>13</v>
      </c>
      <c r="G51" s="247"/>
      <c r="H51" s="20">
        <f>G51-'[1]Náklady Výnosy 2008 €'!F48</f>
        <v>-9</v>
      </c>
      <c r="I51" s="219" t="s">
        <v>11</v>
      </c>
      <c r="J51" s="78" t="s">
        <v>12</v>
      </c>
      <c r="K51" s="78" t="s">
        <v>13</v>
      </c>
      <c r="L51" s="247"/>
      <c r="M51" s="219" t="s">
        <v>11</v>
      </c>
      <c r="N51" s="78" t="s">
        <v>12</v>
      </c>
      <c r="O51" s="78" t="s">
        <v>13</v>
      </c>
      <c r="P51" s="247"/>
      <c r="Q51" s="97" t="s">
        <v>11</v>
      </c>
      <c r="R51" s="97" t="s">
        <v>12</v>
      </c>
      <c r="S51" s="97" t="s">
        <v>13</v>
      </c>
      <c r="T51" s="247"/>
      <c r="U51" s="78" t="s">
        <v>11</v>
      </c>
      <c r="V51" s="78" t="s">
        <v>96</v>
      </c>
      <c r="W51" s="78" t="s">
        <v>13</v>
      </c>
      <c r="X51" s="247"/>
      <c r="Y51" s="78" t="s">
        <v>11</v>
      </c>
      <c r="Z51" s="78" t="s">
        <v>96</v>
      </c>
      <c r="AA51" s="78" t="s">
        <v>13</v>
      </c>
      <c r="AB51" s="247"/>
      <c r="AC51" s="80" t="s">
        <v>11</v>
      </c>
      <c r="AD51" s="80" t="s">
        <v>96</v>
      </c>
      <c r="AE51" s="80" t="s">
        <v>13</v>
      </c>
      <c r="AF51" s="251"/>
      <c r="AG51" s="80" t="s">
        <v>11</v>
      </c>
      <c r="AH51" s="80" t="s">
        <v>96</v>
      </c>
      <c r="AI51" s="80" t="s">
        <v>13</v>
      </c>
      <c r="AJ51" s="251"/>
      <c r="AK51" s="80" t="s">
        <v>11</v>
      </c>
      <c r="AL51" s="80" t="s">
        <v>96</v>
      </c>
      <c r="AM51" s="80" t="s">
        <v>13</v>
      </c>
      <c r="AN51" s="251"/>
      <c r="AO51" s="80" t="s">
        <v>11</v>
      </c>
      <c r="AP51" s="80" t="s">
        <v>96</v>
      </c>
      <c r="AQ51" s="80" t="s">
        <v>13</v>
      </c>
      <c r="AR51" s="251"/>
      <c r="AS51" s="103" t="s">
        <v>11</v>
      </c>
      <c r="AT51" s="103" t="s">
        <v>12</v>
      </c>
      <c r="AU51" s="104" t="s">
        <v>13</v>
      </c>
      <c r="AV51" s="104" t="s">
        <v>130</v>
      </c>
      <c r="AW51" s="247"/>
    </row>
    <row r="52" spans="1:50" s="8" customFormat="1" ht="20.100000000000001" customHeight="1" thickBot="1" x14ac:dyDescent="0.25">
      <c r="A52" s="266"/>
      <c r="B52" s="266"/>
      <c r="C52" s="266"/>
      <c r="D52" s="50">
        <v>7</v>
      </c>
      <c r="E52" s="50">
        <v>8</v>
      </c>
      <c r="F52" s="50">
        <v>9</v>
      </c>
      <c r="G52" s="51">
        <v>10</v>
      </c>
      <c r="H52" s="20">
        <f>G52-'[1]Náklady Výnosy 2008 €'!F49</f>
        <v>-266835.91382858658</v>
      </c>
      <c r="I52" s="214">
        <v>7</v>
      </c>
      <c r="J52" s="79">
        <v>8</v>
      </c>
      <c r="K52" s="79">
        <v>9</v>
      </c>
      <c r="L52" s="51">
        <v>10</v>
      </c>
      <c r="M52" s="214">
        <v>7</v>
      </c>
      <c r="N52" s="79">
        <v>8</v>
      </c>
      <c r="O52" s="79">
        <v>9</v>
      </c>
      <c r="P52" s="51">
        <v>10</v>
      </c>
      <c r="Q52" s="235">
        <v>7</v>
      </c>
      <c r="R52" s="235">
        <v>8</v>
      </c>
      <c r="S52" s="235">
        <v>9</v>
      </c>
      <c r="T52" s="14">
        <v>10</v>
      </c>
      <c r="U52" s="79">
        <v>7</v>
      </c>
      <c r="V52" s="79">
        <v>8</v>
      </c>
      <c r="W52" s="79">
        <v>9</v>
      </c>
      <c r="X52" s="51">
        <v>10</v>
      </c>
      <c r="Y52" s="79">
        <v>7</v>
      </c>
      <c r="Z52" s="79">
        <v>8</v>
      </c>
      <c r="AA52" s="79">
        <v>9</v>
      </c>
      <c r="AB52" s="51">
        <v>10</v>
      </c>
      <c r="AC52" s="81">
        <v>7</v>
      </c>
      <c r="AD52" s="81">
        <v>8</v>
      </c>
      <c r="AE52" s="81">
        <v>9</v>
      </c>
      <c r="AF52" s="119">
        <v>10</v>
      </c>
      <c r="AG52" s="81">
        <v>7</v>
      </c>
      <c r="AH52" s="81">
        <v>8</v>
      </c>
      <c r="AI52" s="81">
        <v>9</v>
      </c>
      <c r="AJ52" s="119">
        <v>10</v>
      </c>
      <c r="AK52" s="81">
        <v>7</v>
      </c>
      <c r="AL52" s="81">
        <v>8</v>
      </c>
      <c r="AM52" s="81">
        <v>9</v>
      </c>
      <c r="AN52" s="119">
        <v>10</v>
      </c>
      <c r="AO52" s="81">
        <v>7</v>
      </c>
      <c r="AP52" s="81">
        <v>8</v>
      </c>
      <c r="AQ52" s="81">
        <v>9</v>
      </c>
      <c r="AR52" s="119">
        <v>10</v>
      </c>
      <c r="AS52" s="151"/>
      <c r="AT52" s="151"/>
      <c r="AU52" s="151"/>
      <c r="AV52" s="197"/>
      <c r="AW52" s="119"/>
    </row>
    <row r="53" spans="1:50" ht="15" customHeight="1" x14ac:dyDescent="0.25">
      <c r="A53" s="15">
        <v>601</v>
      </c>
      <c r="B53" s="27" t="s">
        <v>55</v>
      </c>
      <c r="C53" s="52">
        <v>39</v>
      </c>
      <c r="D53" s="28">
        <v>0</v>
      </c>
      <c r="E53" s="28">
        <v>0</v>
      </c>
      <c r="F53" s="28">
        <f>SUM(D53:E53)</f>
        <v>0</v>
      </c>
      <c r="G53" s="19">
        <v>0</v>
      </c>
      <c r="H53" s="20">
        <f>G53-'[1]Náklady Výnosy 2008 €'!F49</f>
        <v>-266845.91382858658</v>
      </c>
      <c r="I53" s="217">
        <v>0</v>
      </c>
      <c r="J53" s="85">
        <v>0</v>
      </c>
      <c r="K53" s="85">
        <f t="shared" ref="K53:K87" si="31">I53+J53</f>
        <v>0</v>
      </c>
      <c r="L53" s="28">
        <v>0</v>
      </c>
      <c r="M53" s="223"/>
      <c r="N53" s="138">
        <v>5000</v>
      </c>
      <c r="O53" s="138">
        <f t="shared" ref="O53:O54" si="32">SUM(M53:N53)</f>
        <v>5000</v>
      </c>
      <c r="P53" s="140">
        <v>9639.6299999999992</v>
      </c>
      <c r="Q53" s="236">
        <v>0</v>
      </c>
      <c r="R53" s="238">
        <v>1000</v>
      </c>
      <c r="S53" s="239">
        <f>Q53+R53</f>
        <v>1000</v>
      </c>
      <c r="T53" s="209">
        <v>877</v>
      </c>
      <c r="U53" s="28">
        <v>0</v>
      </c>
      <c r="V53" s="28">
        <v>0</v>
      </c>
      <c r="W53" s="28">
        <f>SUM(U53:V53)</f>
        <v>0</v>
      </c>
      <c r="X53" s="19">
        <v>0</v>
      </c>
      <c r="Y53" s="28">
        <v>0</v>
      </c>
      <c r="Z53" s="28"/>
      <c r="AA53" s="28">
        <f>SUM(Y53:Z53)</f>
        <v>0</v>
      </c>
      <c r="AB53" s="19">
        <v>0</v>
      </c>
      <c r="AC53" s="28">
        <v>0</v>
      </c>
      <c r="AD53" s="28"/>
      <c r="AE53" s="28">
        <f>SUM(AC53:AD53)</f>
        <v>0</v>
      </c>
      <c r="AF53" s="120">
        <v>404</v>
      </c>
      <c r="AG53" s="135">
        <v>0</v>
      </c>
      <c r="AH53" s="135">
        <v>0</v>
      </c>
      <c r="AI53" s="135">
        <f>AG53+AH53</f>
        <v>0</v>
      </c>
      <c r="AJ53" s="120">
        <v>0</v>
      </c>
      <c r="AK53" s="107"/>
      <c r="AL53" s="107">
        <v>0</v>
      </c>
      <c r="AM53" s="108">
        <f t="shared" ref="AM53:AM86" si="33">SUM(AK53:AL53)</f>
        <v>0</v>
      </c>
      <c r="AN53" s="114">
        <v>0</v>
      </c>
      <c r="AO53" s="107"/>
      <c r="AP53" s="107">
        <v>245000</v>
      </c>
      <c r="AQ53" s="108">
        <f>AO53+AP53</f>
        <v>245000</v>
      </c>
      <c r="AR53" s="114">
        <v>132767</v>
      </c>
      <c r="AS53" s="107">
        <f>AO53+AK53+AG53+AC53+Y53+U53+Q53+M53+I53+D53</f>
        <v>0</v>
      </c>
      <c r="AT53" s="107">
        <f>AP53+AL53+AH53+AD53+Z53+V53+R53+N53+J53+E53</f>
        <v>251000</v>
      </c>
      <c r="AU53" s="108">
        <f>AS53+AT53</f>
        <v>251000</v>
      </c>
      <c r="AV53" s="108">
        <f t="shared" ref="AV53:AV87" si="34">G53+L53+P53+T53+X53+AB53+AF53+AJ53+AN53+AR53</f>
        <v>143687.63</v>
      </c>
      <c r="AW53" s="152">
        <v>265507</v>
      </c>
    </row>
    <row r="54" spans="1:50" ht="15" customHeight="1" thickBot="1" x14ac:dyDescent="0.3">
      <c r="A54" s="15">
        <v>602</v>
      </c>
      <c r="B54" s="27" t="s">
        <v>56</v>
      </c>
      <c r="C54" s="52">
        <v>40</v>
      </c>
      <c r="D54" s="18">
        <v>35000</v>
      </c>
      <c r="E54" s="18">
        <v>840000</v>
      </c>
      <c r="F54" s="18">
        <f>SUM(D54:E54)</f>
        <v>875000</v>
      </c>
      <c r="G54" s="19">
        <v>970043.57</v>
      </c>
      <c r="H54" s="20">
        <f>G54-'[1]Náklady Výnosy 2008 €'!F50</f>
        <v>-9778645.2702044733</v>
      </c>
      <c r="I54" s="217">
        <v>0</v>
      </c>
      <c r="J54" s="85">
        <v>240850</v>
      </c>
      <c r="K54" s="85">
        <f t="shared" si="31"/>
        <v>240850</v>
      </c>
      <c r="L54" s="28">
        <v>290024.62</v>
      </c>
      <c r="M54" s="223">
        <v>15000</v>
      </c>
      <c r="N54" s="138">
        <v>350000</v>
      </c>
      <c r="O54" s="138">
        <f t="shared" si="32"/>
        <v>365000</v>
      </c>
      <c r="P54" s="140">
        <v>385637.38</v>
      </c>
      <c r="Q54" s="236">
        <v>40000</v>
      </c>
      <c r="R54" s="238">
        <v>25000</v>
      </c>
      <c r="S54" s="239">
        <v>65000</v>
      </c>
      <c r="T54" s="209">
        <v>20826</v>
      </c>
      <c r="U54" s="28">
        <v>10000</v>
      </c>
      <c r="V54" s="28">
        <v>28000</v>
      </c>
      <c r="W54" s="28">
        <f>SUM(U54:V54)</f>
        <v>38000</v>
      </c>
      <c r="X54" s="19">
        <v>37440.339999999997</v>
      </c>
      <c r="Y54" s="28">
        <v>769600</v>
      </c>
      <c r="Z54" s="28">
        <v>350000</v>
      </c>
      <c r="AA54" s="28">
        <f>SUM(Y54:Z54)</f>
        <v>1119600</v>
      </c>
      <c r="AB54" s="19">
        <v>1168652.81</v>
      </c>
      <c r="AC54" s="28"/>
      <c r="AD54" s="28">
        <v>8000</v>
      </c>
      <c r="AE54" s="28">
        <f t="shared" ref="AE54:AE88" si="35">SUM(AC54:AD54)</f>
        <v>8000</v>
      </c>
      <c r="AF54" s="120">
        <v>24440</v>
      </c>
      <c r="AG54" s="149">
        <v>160100</v>
      </c>
      <c r="AH54" s="145">
        <v>1200000</v>
      </c>
      <c r="AI54" s="150">
        <f>AG54+AH54</f>
        <v>1360100</v>
      </c>
      <c r="AJ54" s="120">
        <v>1600868</v>
      </c>
      <c r="AK54" s="107">
        <v>4120553</v>
      </c>
      <c r="AL54" s="107">
        <v>920000</v>
      </c>
      <c r="AM54" s="108">
        <f t="shared" si="33"/>
        <v>5040553</v>
      </c>
      <c r="AN54" s="114">
        <v>4853247.75</v>
      </c>
      <c r="AO54" s="107"/>
      <c r="AP54" s="107">
        <v>290000</v>
      </c>
      <c r="AQ54" s="108">
        <f t="shared" ref="AQ54:AQ88" si="36">AO54+AP54</f>
        <v>290000</v>
      </c>
      <c r="AR54" s="114">
        <v>144276</v>
      </c>
      <c r="AS54" s="107">
        <f t="shared" ref="AS54:AS87" si="37">D54+I54+M54+Q54+U54+Y54+AC54+AG54+AK54+AO54</f>
        <v>5150253</v>
      </c>
      <c r="AT54" s="107">
        <f t="shared" ref="AT54:AT86" si="38">AP54+AL54+AH54+AD54+Z54+V54+R54+N54+J54+E54</f>
        <v>4251850</v>
      </c>
      <c r="AU54" s="108">
        <f t="shared" ref="AU54:AU90" si="39">AS54+AT54</f>
        <v>9402103</v>
      </c>
      <c r="AV54" s="108">
        <f t="shared" si="34"/>
        <v>9495456.4699999988</v>
      </c>
      <c r="AW54" s="152">
        <v>10562293</v>
      </c>
      <c r="AX54" s="21"/>
    </row>
    <row r="55" spans="1:50" ht="15" customHeight="1" x14ac:dyDescent="0.25">
      <c r="A55" s="15">
        <v>604</v>
      </c>
      <c r="B55" s="27" t="s">
        <v>57</v>
      </c>
      <c r="C55" s="52">
        <v>41</v>
      </c>
      <c r="D55" s="18">
        <v>0</v>
      </c>
      <c r="E55" s="18">
        <v>0</v>
      </c>
      <c r="F55" s="18">
        <f>SUM(D55:E55)</f>
        <v>0</v>
      </c>
      <c r="G55" s="19">
        <v>0</v>
      </c>
      <c r="H55" s="20">
        <f>G55-'[1]Náklady Výnosy 2008 €'!F51</f>
        <v>-276472.15030206466</v>
      </c>
      <c r="I55" s="217">
        <v>0</v>
      </c>
      <c r="J55" s="85">
        <v>0</v>
      </c>
      <c r="K55" s="85">
        <f t="shared" si="31"/>
        <v>0</v>
      </c>
      <c r="L55" s="28">
        <v>0</v>
      </c>
      <c r="M55" s="223"/>
      <c r="N55" s="138"/>
      <c r="O55" s="138">
        <f t="shared" ref="O55:O86" si="40">SUM(M55:N55)</f>
        <v>0</v>
      </c>
      <c r="P55" s="156">
        <v>7.5</v>
      </c>
      <c r="Q55" s="236">
        <v>0</v>
      </c>
      <c r="R55" s="238">
        <v>10000</v>
      </c>
      <c r="S55" s="239">
        <v>10000</v>
      </c>
      <c r="T55" s="209"/>
      <c r="U55" s="28"/>
      <c r="V55" s="28">
        <v>0</v>
      </c>
      <c r="W55" s="28">
        <f>SUM(U55:V55)</f>
        <v>0</v>
      </c>
      <c r="X55" s="19">
        <v>0</v>
      </c>
      <c r="Y55" s="28">
        <v>50000</v>
      </c>
      <c r="Z55" s="28"/>
      <c r="AA55" s="28">
        <f>SUM(Y55:Z55)</f>
        <v>50000</v>
      </c>
      <c r="AB55" s="19">
        <v>45916.66</v>
      </c>
      <c r="AC55" s="28"/>
      <c r="AD55" s="28"/>
      <c r="AE55" s="28">
        <f t="shared" si="35"/>
        <v>0</v>
      </c>
      <c r="AF55" s="120"/>
      <c r="AG55" s="135"/>
      <c r="AH55" s="135"/>
      <c r="AI55" s="135"/>
      <c r="AJ55" s="120"/>
      <c r="AK55" s="107">
        <v>0</v>
      </c>
      <c r="AL55" s="107">
        <v>3000</v>
      </c>
      <c r="AM55" s="108">
        <f t="shared" si="33"/>
        <v>3000</v>
      </c>
      <c r="AN55" s="114">
        <v>3038.68</v>
      </c>
      <c r="AO55" s="107"/>
      <c r="AP55" s="107"/>
      <c r="AQ55" s="108">
        <f t="shared" si="36"/>
        <v>0</v>
      </c>
      <c r="AR55" s="114"/>
      <c r="AS55" s="107">
        <f t="shared" si="37"/>
        <v>50000</v>
      </c>
      <c r="AT55" s="107">
        <f t="shared" si="38"/>
        <v>13000</v>
      </c>
      <c r="AU55" s="108">
        <f t="shared" si="39"/>
        <v>63000</v>
      </c>
      <c r="AV55" s="108">
        <f t="shared" si="34"/>
        <v>48962.840000000004</v>
      </c>
      <c r="AW55" s="152">
        <v>34800</v>
      </c>
    </row>
    <row r="56" spans="1:50" ht="3" hidden="1" customHeight="1" x14ac:dyDescent="0.25">
      <c r="A56" s="15">
        <v>611</v>
      </c>
      <c r="B56" s="27" t="s">
        <v>58</v>
      </c>
      <c r="C56" s="52">
        <v>42</v>
      </c>
      <c r="D56" s="18">
        <v>0</v>
      </c>
      <c r="E56" s="18">
        <v>0</v>
      </c>
      <c r="F56" s="18">
        <f t="shared" ref="F56:F87" si="41">SUM(D56:E56)</f>
        <v>0</v>
      </c>
      <c r="G56" s="19">
        <v>0</v>
      </c>
      <c r="H56" s="20">
        <f>G56-'[1]Náklady Výnosy 2008 €'!F52</f>
        <v>0</v>
      </c>
      <c r="I56" s="217">
        <v>0</v>
      </c>
      <c r="J56" s="85">
        <v>0</v>
      </c>
      <c r="K56" s="85">
        <f t="shared" si="31"/>
        <v>0</v>
      </c>
      <c r="L56" s="28">
        <v>0</v>
      </c>
      <c r="M56" s="223"/>
      <c r="N56" s="138"/>
      <c r="O56" s="138">
        <f t="shared" si="40"/>
        <v>0</v>
      </c>
      <c r="P56" s="156">
        <v>0</v>
      </c>
      <c r="Q56" s="236">
        <v>0</v>
      </c>
      <c r="R56" s="238">
        <v>0</v>
      </c>
      <c r="S56" s="239">
        <v>0</v>
      </c>
      <c r="T56" s="209"/>
      <c r="U56" s="28"/>
      <c r="V56" s="28">
        <v>0</v>
      </c>
      <c r="W56" s="28">
        <f t="shared" ref="W56:W87" si="42">SUM(U56:V56)</f>
        <v>0</v>
      </c>
      <c r="X56" s="19">
        <v>0</v>
      </c>
      <c r="Y56" s="28"/>
      <c r="Z56" s="28"/>
      <c r="AA56" s="28">
        <f t="shared" ref="AA56:AA87" si="43">SUM(Y56:Z56)</f>
        <v>0</v>
      </c>
      <c r="AB56" s="19">
        <v>0</v>
      </c>
      <c r="AC56" s="28"/>
      <c r="AD56" s="28"/>
      <c r="AE56" s="28">
        <f t="shared" si="35"/>
        <v>0</v>
      </c>
      <c r="AF56" s="120"/>
      <c r="AG56" s="136"/>
      <c r="AH56" s="135"/>
      <c r="AI56" s="135"/>
      <c r="AJ56" s="120"/>
      <c r="AK56" s="107">
        <v>0</v>
      </c>
      <c r="AL56" s="107">
        <v>0</v>
      </c>
      <c r="AM56" s="108">
        <f t="shared" si="33"/>
        <v>0</v>
      </c>
      <c r="AN56" s="114">
        <v>0</v>
      </c>
      <c r="AO56" s="107"/>
      <c r="AP56" s="107"/>
      <c r="AQ56" s="108">
        <f t="shared" si="36"/>
        <v>0</v>
      </c>
      <c r="AR56" s="114"/>
      <c r="AS56" s="107">
        <f t="shared" si="37"/>
        <v>0</v>
      </c>
      <c r="AT56" s="107">
        <f t="shared" si="38"/>
        <v>0</v>
      </c>
      <c r="AU56" s="108">
        <f t="shared" si="39"/>
        <v>0</v>
      </c>
      <c r="AV56" s="108">
        <f t="shared" si="34"/>
        <v>0</v>
      </c>
      <c r="AW56" s="152">
        <v>0</v>
      </c>
    </row>
    <row r="57" spans="1:50" ht="15" hidden="1" customHeight="1" x14ac:dyDescent="0.25">
      <c r="A57" s="15">
        <v>612</v>
      </c>
      <c r="B57" s="27" t="s">
        <v>59</v>
      </c>
      <c r="C57" s="52">
        <v>43</v>
      </c>
      <c r="D57" s="18">
        <v>0</v>
      </c>
      <c r="E57" s="18">
        <v>0</v>
      </c>
      <c r="F57" s="18">
        <f t="shared" si="41"/>
        <v>0</v>
      </c>
      <c r="G57" s="19">
        <v>0</v>
      </c>
      <c r="H57" s="20">
        <f>G57-'[1]Náklady Výnosy 2008 €'!F53</f>
        <v>0</v>
      </c>
      <c r="I57" s="217">
        <v>0</v>
      </c>
      <c r="J57" s="85">
        <v>0</v>
      </c>
      <c r="K57" s="85">
        <f t="shared" si="31"/>
        <v>0</v>
      </c>
      <c r="L57" s="28">
        <v>0</v>
      </c>
      <c r="M57" s="223"/>
      <c r="N57" s="138"/>
      <c r="O57" s="138">
        <f t="shared" si="40"/>
        <v>0</v>
      </c>
      <c r="P57" s="156">
        <v>0</v>
      </c>
      <c r="Q57" s="236">
        <v>0</v>
      </c>
      <c r="R57" s="238">
        <v>0</v>
      </c>
      <c r="S57" s="239">
        <v>0</v>
      </c>
      <c r="T57" s="209"/>
      <c r="U57" s="28"/>
      <c r="V57" s="28">
        <v>0</v>
      </c>
      <c r="W57" s="28">
        <f t="shared" si="42"/>
        <v>0</v>
      </c>
      <c r="X57" s="19">
        <v>0</v>
      </c>
      <c r="Y57" s="28"/>
      <c r="Z57" s="28"/>
      <c r="AA57" s="28">
        <f t="shared" si="43"/>
        <v>0</v>
      </c>
      <c r="AB57" s="19">
        <v>0</v>
      </c>
      <c r="AC57" s="28"/>
      <c r="AD57" s="28"/>
      <c r="AE57" s="28">
        <f t="shared" si="35"/>
        <v>0</v>
      </c>
      <c r="AF57" s="120"/>
      <c r="AG57" s="135"/>
      <c r="AH57" s="135"/>
      <c r="AI57" s="135"/>
      <c r="AJ57" s="120"/>
      <c r="AK57" s="107">
        <v>0</v>
      </c>
      <c r="AL57" s="107">
        <v>0</v>
      </c>
      <c r="AM57" s="108">
        <f t="shared" si="33"/>
        <v>0</v>
      </c>
      <c r="AN57" s="114">
        <v>0</v>
      </c>
      <c r="AO57" s="107"/>
      <c r="AP57" s="107"/>
      <c r="AQ57" s="108">
        <f t="shared" si="36"/>
        <v>0</v>
      </c>
      <c r="AR57" s="114"/>
      <c r="AS57" s="107">
        <f t="shared" si="37"/>
        <v>0</v>
      </c>
      <c r="AT57" s="107">
        <f t="shared" si="38"/>
        <v>0</v>
      </c>
      <c r="AU57" s="108">
        <f t="shared" si="39"/>
        <v>0</v>
      </c>
      <c r="AV57" s="108">
        <f t="shared" si="34"/>
        <v>0</v>
      </c>
      <c r="AW57" s="152">
        <v>0</v>
      </c>
    </row>
    <row r="58" spans="1:50" ht="15" hidden="1" customHeight="1" x14ac:dyDescent="0.25">
      <c r="A58" s="15">
        <v>613</v>
      </c>
      <c r="B58" s="27" t="s">
        <v>60</v>
      </c>
      <c r="C58" s="52">
        <v>44</v>
      </c>
      <c r="D58" s="18">
        <v>0</v>
      </c>
      <c r="E58" s="18">
        <v>0</v>
      </c>
      <c r="F58" s="18">
        <f t="shared" si="41"/>
        <v>0</v>
      </c>
      <c r="G58" s="19">
        <v>0</v>
      </c>
      <c r="H58" s="20">
        <f>G58-'[1]Náklady Výnosy 2008 €'!F54</f>
        <v>0</v>
      </c>
      <c r="I58" s="217">
        <v>0</v>
      </c>
      <c r="J58" s="85">
        <v>0</v>
      </c>
      <c r="K58" s="85">
        <f t="shared" si="31"/>
        <v>0</v>
      </c>
      <c r="L58" s="28">
        <v>0</v>
      </c>
      <c r="M58" s="223"/>
      <c r="N58" s="138"/>
      <c r="O58" s="138">
        <f t="shared" si="40"/>
        <v>0</v>
      </c>
      <c r="P58" s="156">
        <v>0</v>
      </c>
      <c r="Q58" s="236">
        <v>0</v>
      </c>
      <c r="R58" s="238">
        <v>0</v>
      </c>
      <c r="S58" s="239">
        <v>0</v>
      </c>
      <c r="T58" s="209"/>
      <c r="U58" s="28"/>
      <c r="V58" s="28">
        <v>0</v>
      </c>
      <c r="W58" s="28">
        <f t="shared" si="42"/>
        <v>0</v>
      </c>
      <c r="X58" s="19">
        <v>0</v>
      </c>
      <c r="Y58" s="28"/>
      <c r="Z58" s="28"/>
      <c r="AA58" s="28">
        <f t="shared" si="43"/>
        <v>0</v>
      </c>
      <c r="AB58" s="19">
        <v>0</v>
      </c>
      <c r="AC58" s="28"/>
      <c r="AD58" s="28"/>
      <c r="AE58" s="28">
        <f t="shared" si="35"/>
        <v>0</v>
      </c>
      <c r="AF58" s="120"/>
      <c r="AG58" s="135"/>
      <c r="AH58" s="135"/>
      <c r="AI58" s="135"/>
      <c r="AJ58" s="120"/>
      <c r="AK58" s="107">
        <v>0</v>
      </c>
      <c r="AL58" s="107">
        <v>0</v>
      </c>
      <c r="AM58" s="108">
        <f t="shared" si="33"/>
        <v>0</v>
      </c>
      <c r="AN58" s="114">
        <v>0</v>
      </c>
      <c r="AO58" s="107"/>
      <c r="AP58" s="107"/>
      <c r="AQ58" s="108">
        <f t="shared" si="36"/>
        <v>0</v>
      </c>
      <c r="AR58" s="114"/>
      <c r="AS58" s="107">
        <f t="shared" si="37"/>
        <v>0</v>
      </c>
      <c r="AT58" s="107">
        <f t="shared" si="38"/>
        <v>0</v>
      </c>
      <c r="AU58" s="108">
        <f t="shared" si="39"/>
        <v>0</v>
      </c>
      <c r="AV58" s="108">
        <f t="shared" si="34"/>
        <v>0</v>
      </c>
      <c r="AW58" s="152">
        <v>32641</v>
      </c>
    </row>
    <row r="59" spans="1:50" ht="15" hidden="1" customHeight="1" x14ac:dyDescent="0.25">
      <c r="A59" s="15">
        <v>614</v>
      </c>
      <c r="B59" s="27" t="s">
        <v>61</v>
      </c>
      <c r="C59" s="52">
        <v>45</v>
      </c>
      <c r="D59" s="18">
        <v>0</v>
      </c>
      <c r="E59" s="18">
        <v>0</v>
      </c>
      <c r="F59" s="18">
        <f t="shared" si="41"/>
        <v>0</v>
      </c>
      <c r="G59" s="19">
        <v>0</v>
      </c>
      <c r="H59" s="20">
        <f>G59-'[1]Náklady Výnosy 2008 €'!F55</f>
        <v>0</v>
      </c>
      <c r="I59" s="217">
        <v>0</v>
      </c>
      <c r="J59" s="85">
        <v>0</v>
      </c>
      <c r="K59" s="85">
        <f t="shared" si="31"/>
        <v>0</v>
      </c>
      <c r="L59" s="28">
        <v>0</v>
      </c>
      <c r="M59" s="223"/>
      <c r="N59" s="138"/>
      <c r="O59" s="138">
        <f t="shared" si="40"/>
        <v>0</v>
      </c>
      <c r="P59" s="156">
        <v>0</v>
      </c>
      <c r="Q59" s="236">
        <v>0</v>
      </c>
      <c r="R59" s="238">
        <v>0</v>
      </c>
      <c r="S59" s="239">
        <v>0</v>
      </c>
      <c r="T59" s="209"/>
      <c r="U59" s="28"/>
      <c r="V59" s="28">
        <v>0</v>
      </c>
      <c r="W59" s="28">
        <f t="shared" si="42"/>
        <v>0</v>
      </c>
      <c r="X59" s="19">
        <v>0</v>
      </c>
      <c r="Y59" s="28"/>
      <c r="Z59" s="28"/>
      <c r="AA59" s="28">
        <f t="shared" si="43"/>
        <v>0</v>
      </c>
      <c r="AB59" s="19">
        <v>0</v>
      </c>
      <c r="AC59" s="28"/>
      <c r="AD59" s="28"/>
      <c r="AE59" s="28">
        <f t="shared" si="35"/>
        <v>0</v>
      </c>
      <c r="AF59" s="120"/>
      <c r="AG59" s="135"/>
      <c r="AH59" s="135"/>
      <c r="AI59" s="135"/>
      <c r="AJ59" s="120"/>
      <c r="AK59" s="107">
        <v>0</v>
      </c>
      <c r="AL59" s="107">
        <v>0</v>
      </c>
      <c r="AM59" s="108">
        <f t="shared" si="33"/>
        <v>0</v>
      </c>
      <c r="AN59" s="114">
        <v>0</v>
      </c>
      <c r="AO59" s="107"/>
      <c r="AP59" s="107"/>
      <c r="AQ59" s="108">
        <f t="shared" si="36"/>
        <v>0</v>
      </c>
      <c r="AR59" s="114"/>
      <c r="AS59" s="107">
        <f t="shared" si="37"/>
        <v>0</v>
      </c>
      <c r="AT59" s="107">
        <f t="shared" si="38"/>
        <v>0</v>
      </c>
      <c r="AU59" s="108">
        <f t="shared" si="39"/>
        <v>0</v>
      </c>
      <c r="AV59" s="108">
        <f t="shared" si="34"/>
        <v>0</v>
      </c>
      <c r="AW59" s="152">
        <v>0</v>
      </c>
    </row>
    <row r="60" spans="1:50" ht="15" hidden="1" customHeight="1" x14ac:dyDescent="0.25">
      <c r="A60" s="15">
        <v>621</v>
      </c>
      <c r="B60" s="27" t="s">
        <v>62</v>
      </c>
      <c r="C60" s="52">
        <v>46</v>
      </c>
      <c r="D60" s="18">
        <v>0</v>
      </c>
      <c r="E60" s="18">
        <v>0</v>
      </c>
      <c r="F60" s="18">
        <f t="shared" si="41"/>
        <v>0</v>
      </c>
      <c r="G60" s="19">
        <v>0</v>
      </c>
      <c r="H60" s="20">
        <f>G60-'[1]Náklady Výnosy 2008 €'!F56</f>
        <v>0</v>
      </c>
      <c r="I60" s="217">
        <v>0</v>
      </c>
      <c r="J60" s="85">
        <v>0</v>
      </c>
      <c r="K60" s="85">
        <f t="shared" si="31"/>
        <v>0</v>
      </c>
      <c r="L60" s="28">
        <v>0</v>
      </c>
      <c r="M60" s="223"/>
      <c r="N60" s="138"/>
      <c r="O60" s="138">
        <f t="shared" si="40"/>
        <v>0</v>
      </c>
      <c r="P60" s="156">
        <v>0</v>
      </c>
      <c r="Q60" s="236">
        <v>0</v>
      </c>
      <c r="R60" s="238">
        <v>0</v>
      </c>
      <c r="S60" s="239">
        <v>0</v>
      </c>
      <c r="T60" s="209"/>
      <c r="U60" s="28"/>
      <c r="V60" s="28">
        <v>0</v>
      </c>
      <c r="W60" s="28">
        <f t="shared" si="42"/>
        <v>0</v>
      </c>
      <c r="X60" s="19">
        <v>0</v>
      </c>
      <c r="Y60" s="28"/>
      <c r="Z60" s="28"/>
      <c r="AA60" s="28">
        <f t="shared" si="43"/>
        <v>0</v>
      </c>
      <c r="AB60" s="19">
        <v>0</v>
      </c>
      <c r="AC60" s="28"/>
      <c r="AD60" s="28"/>
      <c r="AE60" s="28">
        <f t="shared" si="35"/>
        <v>0</v>
      </c>
      <c r="AF60" s="120"/>
      <c r="AG60" s="136"/>
      <c r="AH60" s="135"/>
      <c r="AI60" s="135"/>
      <c r="AJ60" s="120"/>
      <c r="AK60" s="107">
        <v>0</v>
      </c>
      <c r="AL60" s="107">
        <v>0</v>
      </c>
      <c r="AM60" s="108">
        <f t="shared" si="33"/>
        <v>0</v>
      </c>
      <c r="AN60" s="114">
        <v>0</v>
      </c>
      <c r="AO60" s="107"/>
      <c r="AP60" s="107"/>
      <c r="AQ60" s="108">
        <f t="shared" si="36"/>
        <v>0</v>
      </c>
      <c r="AR60" s="114"/>
      <c r="AS60" s="107">
        <f t="shared" si="37"/>
        <v>0</v>
      </c>
      <c r="AT60" s="107">
        <f t="shared" si="38"/>
        <v>0</v>
      </c>
      <c r="AU60" s="108">
        <f t="shared" si="39"/>
        <v>0</v>
      </c>
      <c r="AV60" s="108">
        <f t="shared" si="34"/>
        <v>0</v>
      </c>
      <c r="AW60" s="152">
        <v>0</v>
      </c>
    </row>
    <row r="61" spans="1:50" ht="15" hidden="1" customHeight="1" x14ac:dyDescent="0.25">
      <c r="A61" s="15">
        <v>622</v>
      </c>
      <c r="B61" s="27" t="s">
        <v>63</v>
      </c>
      <c r="C61" s="52">
        <v>47</v>
      </c>
      <c r="D61" s="18">
        <v>0</v>
      </c>
      <c r="E61" s="18">
        <v>0</v>
      </c>
      <c r="F61" s="18">
        <f t="shared" si="41"/>
        <v>0</v>
      </c>
      <c r="G61" s="19">
        <v>0</v>
      </c>
      <c r="H61" s="20">
        <f>G61-'[1]Náklady Výnosy 2008 €'!F57</f>
        <v>0</v>
      </c>
      <c r="I61" s="217">
        <v>0</v>
      </c>
      <c r="J61" s="85">
        <v>0</v>
      </c>
      <c r="K61" s="85">
        <f t="shared" si="31"/>
        <v>0</v>
      </c>
      <c r="L61" s="28">
        <v>0</v>
      </c>
      <c r="M61" s="223"/>
      <c r="N61" s="138"/>
      <c r="O61" s="138">
        <f t="shared" si="40"/>
        <v>0</v>
      </c>
      <c r="P61" s="156">
        <v>0</v>
      </c>
      <c r="Q61" s="236">
        <v>0</v>
      </c>
      <c r="R61" s="238">
        <v>0</v>
      </c>
      <c r="S61" s="239">
        <v>0</v>
      </c>
      <c r="T61" s="209"/>
      <c r="U61" s="28"/>
      <c r="V61" s="28">
        <v>0</v>
      </c>
      <c r="W61" s="28">
        <f t="shared" si="42"/>
        <v>0</v>
      </c>
      <c r="X61" s="19">
        <v>0</v>
      </c>
      <c r="Y61" s="28"/>
      <c r="Z61" s="28"/>
      <c r="AA61" s="28">
        <f t="shared" si="43"/>
        <v>0</v>
      </c>
      <c r="AB61" s="19">
        <v>0</v>
      </c>
      <c r="AC61" s="28"/>
      <c r="AD61" s="28"/>
      <c r="AE61" s="28">
        <f t="shared" si="35"/>
        <v>0</v>
      </c>
      <c r="AF61" s="120"/>
      <c r="AG61" s="136"/>
      <c r="AH61" s="135"/>
      <c r="AI61" s="135"/>
      <c r="AJ61" s="120"/>
      <c r="AK61" s="107">
        <v>0</v>
      </c>
      <c r="AL61" s="107">
        <v>0</v>
      </c>
      <c r="AM61" s="108">
        <f t="shared" si="33"/>
        <v>0</v>
      </c>
      <c r="AN61" s="114">
        <v>0</v>
      </c>
      <c r="AO61" s="107"/>
      <c r="AP61" s="107"/>
      <c r="AQ61" s="108">
        <f t="shared" si="36"/>
        <v>0</v>
      </c>
      <c r="AR61" s="114"/>
      <c r="AS61" s="107">
        <f t="shared" si="37"/>
        <v>0</v>
      </c>
      <c r="AT61" s="107">
        <f t="shared" si="38"/>
        <v>0</v>
      </c>
      <c r="AU61" s="108">
        <f t="shared" si="39"/>
        <v>0</v>
      </c>
      <c r="AV61" s="108">
        <f t="shared" si="34"/>
        <v>0</v>
      </c>
      <c r="AW61" s="152">
        <v>0</v>
      </c>
    </row>
    <row r="62" spans="1:50" ht="15" hidden="1" customHeight="1" x14ac:dyDescent="0.25">
      <c r="A62" s="15">
        <v>623</v>
      </c>
      <c r="B62" s="27" t="s">
        <v>64</v>
      </c>
      <c r="C62" s="52">
        <v>48</v>
      </c>
      <c r="D62" s="18">
        <v>0</v>
      </c>
      <c r="E62" s="18">
        <v>0</v>
      </c>
      <c r="F62" s="18">
        <f t="shared" si="41"/>
        <v>0</v>
      </c>
      <c r="G62" s="19">
        <v>0</v>
      </c>
      <c r="H62" s="20">
        <f>G62-'[1]Náklady Výnosy 2008 €'!F58</f>
        <v>0</v>
      </c>
      <c r="I62" s="217">
        <v>0</v>
      </c>
      <c r="J62" s="85">
        <v>0</v>
      </c>
      <c r="K62" s="85">
        <f t="shared" si="31"/>
        <v>0</v>
      </c>
      <c r="L62" s="28">
        <v>0</v>
      </c>
      <c r="M62" s="223"/>
      <c r="N62" s="138"/>
      <c r="O62" s="138">
        <f t="shared" si="40"/>
        <v>0</v>
      </c>
      <c r="P62" s="156">
        <v>0</v>
      </c>
      <c r="Q62" s="236">
        <v>0</v>
      </c>
      <c r="R62" s="238">
        <v>0</v>
      </c>
      <c r="S62" s="239">
        <v>0</v>
      </c>
      <c r="T62" s="209"/>
      <c r="U62" s="28"/>
      <c r="V62" s="28">
        <v>0</v>
      </c>
      <c r="W62" s="28">
        <f t="shared" si="42"/>
        <v>0</v>
      </c>
      <c r="X62" s="19">
        <v>0</v>
      </c>
      <c r="Y62" s="28"/>
      <c r="Z62" s="28"/>
      <c r="AA62" s="28">
        <f t="shared" si="43"/>
        <v>0</v>
      </c>
      <c r="AB62" s="19">
        <v>0</v>
      </c>
      <c r="AC62" s="28"/>
      <c r="AD62" s="28"/>
      <c r="AE62" s="28">
        <f t="shared" si="35"/>
        <v>0</v>
      </c>
      <c r="AF62" s="120"/>
      <c r="AG62" s="136"/>
      <c r="AH62" s="135"/>
      <c r="AI62" s="135"/>
      <c r="AJ62" s="120"/>
      <c r="AK62" s="107">
        <v>0</v>
      </c>
      <c r="AL62" s="107">
        <v>0</v>
      </c>
      <c r="AM62" s="108">
        <f t="shared" si="33"/>
        <v>0</v>
      </c>
      <c r="AN62" s="114">
        <v>0</v>
      </c>
      <c r="AO62" s="107"/>
      <c r="AP62" s="107"/>
      <c r="AQ62" s="108">
        <f t="shared" si="36"/>
        <v>0</v>
      </c>
      <c r="AR62" s="114"/>
      <c r="AS62" s="107">
        <f t="shared" si="37"/>
        <v>0</v>
      </c>
      <c r="AT62" s="107">
        <f t="shared" si="38"/>
        <v>0</v>
      </c>
      <c r="AU62" s="108">
        <f t="shared" si="39"/>
        <v>0</v>
      </c>
      <c r="AV62" s="108">
        <f t="shared" si="34"/>
        <v>0</v>
      </c>
      <c r="AW62" s="152">
        <v>0</v>
      </c>
    </row>
    <row r="63" spans="1:50" ht="15" hidden="1" customHeight="1" x14ac:dyDescent="0.25">
      <c r="A63" s="15">
        <v>624</v>
      </c>
      <c r="B63" s="27" t="s">
        <v>65</v>
      </c>
      <c r="C63" s="52">
        <v>49</v>
      </c>
      <c r="D63" s="18">
        <v>0</v>
      </c>
      <c r="E63" s="18">
        <v>0</v>
      </c>
      <c r="F63" s="18">
        <f t="shared" si="41"/>
        <v>0</v>
      </c>
      <c r="G63" s="19">
        <v>0</v>
      </c>
      <c r="H63" s="20">
        <f>G63-'[1]Náklady Výnosy 2008 €'!F59</f>
        <v>-30870.344552877912</v>
      </c>
      <c r="I63" s="217">
        <v>0</v>
      </c>
      <c r="J63" s="85">
        <v>0</v>
      </c>
      <c r="K63" s="85">
        <f t="shared" si="31"/>
        <v>0</v>
      </c>
      <c r="L63" s="28">
        <v>0</v>
      </c>
      <c r="M63" s="223"/>
      <c r="N63" s="138"/>
      <c r="O63" s="138">
        <f t="shared" si="40"/>
        <v>0</v>
      </c>
      <c r="P63" s="156">
        <v>0</v>
      </c>
      <c r="Q63" s="236">
        <v>0</v>
      </c>
      <c r="R63" s="238">
        <v>0</v>
      </c>
      <c r="S63" s="239">
        <v>0</v>
      </c>
      <c r="T63" s="209"/>
      <c r="U63" s="28"/>
      <c r="V63" s="28">
        <v>0</v>
      </c>
      <c r="W63" s="28">
        <f t="shared" si="42"/>
        <v>0</v>
      </c>
      <c r="X63" s="19">
        <v>0</v>
      </c>
      <c r="Y63" s="28"/>
      <c r="Z63" s="28"/>
      <c r="AA63" s="28">
        <f t="shared" si="43"/>
        <v>0</v>
      </c>
      <c r="AB63" s="19">
        <v>2019.36</v>
      </c>
      <c r="AC63" s="28"/>
      <c r="AD63" s="28"/>
      <c r="AE63" s="28">
        <f t="shared" si="35"/>
        <v>0</v>
      </c>
      <c r="AF63" s="120"/>
      <c r="AG63" s="136"/>
      <c r="AH63" s="135"/>
      <c r="AI63" s="135"/>
      <c r="AJ63" s="120"/>
      <c r="AK63" s="107">
        <v>0</v>
      </c>
      <c r="AL63" s="107">
        <v>0</v>
      </c>
      <c r="AM63" s="108">
        <f t="shared" si="33"/>
        <v>0</v>
      </c>
      <c r="AN63" s="114">
        <v>0</v>
      </c>
      <c r="AO63" s="107"/>
      <c r="AP63" s="107"/>
      <c r="AQ63" s="108">
        <f t="shared" si="36"/>
        <v>0</v>
      </c>
      <c r="AR63" s="114"/>
      <c r="AS63" s="107">
        <f t="shared" si="37"/>
        <v>0</v>
      </c>
      <c r="AT63" s="107">
        <f t="shared" si="38"/>
        <v>0</v>
      </c>
      <c r="AU63" s="108">
        <f t="shared" si="39"/>
        <v>0</v>
      </c>
      <c r="AV63" s="108">
        <f t="shared" si="34"/>
        <v>2019.36</v>
      </c>
      <c r="AW63" s="152">
        <v>0</v>
      </c>
    </row>
    <row r="64" spans="1:50" ht="15" hidden="1" customHeight="1" x14ac:dyDescent="0.25">
      <c r="A64" s="15">
        <v>641</v>
      </c>
      <c r="B64" s="27" t="s">
        <v>29</v>
      </c>
      <c r="C64" s="52">
        <v>50</v>
      </c>
      <c r="D64" s="18">
        <v>0</v>
      </c>
      <c r="E64" s="18">
        <v>0</v>
      </c>
      <c r="F64" s="18">
        <f t="shared" si="41"/>
        <v>0</v>
      </c>
      <c r="G64" s="19">
        <v>0</v>
      </c>
      <c r="H64" s="20">
        <f>G64-'[1]Náklady Výnosy 2008 €'!F60</f>
        <v>-14240.191196972713</v>
      </c>
      <c r="I64" s="217">
        <v>0</v>
      </c>
      <c r="J64" s="85">
        <v>0</v>
      </c>
      <c r="K64" s="85">
        <f t="shared" si="31"/>
        <v>0</v>
      </c>
      <c r="L64" s="28">
        <v>0</v>
      </c>
      <c r="M64" s="223"/>
      <c r="N64" s="138"/>
      <c r="O64" s="138">
        <f t="shared" si="40"/>
        <v>0</v>
      </c>
      <c r="P64" s="156">
        <v>0</v>
      </c>
      <c r="Q64" s="236">
        <v>0</v>
      </c>
      <c r="R64" s="238">
        <v>0</v>
      </c>
      <c r="S64" s="239">
        <v>0</v>
      </c>
      <c r="T64" s="209"/>
      <c r="U64" s="28"/>
      <c r="V64" s="28">
        <v>0</v>
      </c>
      <c r="W64" s="28">
        <f t="shared" si="42"/>
        <v>0</v>
      </c>
      <c r="X64" s="19">
        <v>0</v>
      </c>
      <c r="Y64" s="28"/>
      <c r="Z64" s="28"/>
      <c r="AA64" s="28">
        <f t="shared" si="43"/>
        <v>0</v>
      </c>
      <c r="AB64" s="19">
        <v>645</v>
      </c>
      <c r="AC64" s="28"/>
      <c r="AD64" s="28"/>
      <c r="AE64" s="28">
        <f t="shared" si="35"/>
        <v>0</v>
      </c>
      <c r="AF64" s="120">
        <v>376</v>
      </c>
      <c r="AG64" s="136"/>
      <c r="AH64" s="135"/>
      <c r="AI64" s="135"/>
      <c r="AJ64" s="120"/>
      <c r="AK64" s="107">
        <v>0</v>
      </c>
      <c r="AL64" s="107">
        <v>0</v>
      </c>
      <c r="AM64" s="108">
        <f t="shared" si="33"/>
        <v>0</v>
      </c>
      <c r="AN64" s="114">
        <v>4751.33</v>
      </c>
      <c r="AO64" s="107"/>
      <c r="AP64" s="107"/>
      <c r="AQ64" s="108">
        <f t="shared" si="36"/>
        <v>0</v>
      </c>
      <c r="AR64" s="114"/>
      <c r="AS64" s="107">
        <f t="shared" si="37"/>
        <v>0</v>
      </c>
      <c r="AT64" s="107">
        <f t="shared" si="38"/>
        <v>0</v>
      </c>
      <c r="AU64" s="108">
        <f t="shared" si="39"/>
        <v>0</v>
      </c>
      <c r="AV64" s="108">
        <f t="shared" si="34"/>
        <v>5772.33</v>
      </c>
      <c r="AW64" s="152">
        <v>0</v>
      </c>
    </row>
    <row r="65" spans="1:50" ht="15" hidden="1" customHeight="1" x14ac:dyDescent="0.25">
      <c r="A65" s="15">
        <v>642</v>
      </c>
      <c r="B65" s="27" t="s">
        <v>30</v>
      </c>
      <c r="C65" s="52">
        <v>51</v>
      </c>
      <c r="D65" s="18">
        <v>0</v>
      </c>
      <c r="E65" s="18">
        <v>0</v>
      </c>
      <c r="F65" s="18">
        <f t="shared" si="41"/>
        <v>0</v>
      </c>
      <c r="G65" s="19">
        <v>0</v>
      </c>
      <c r="H65" s="20">
        <f>G65-'[1]Náklady Výnosy 2008 €'!F61</f>
        <v>-22771.028347606716</v>
      </c>
      <c r="I65" s="217">
        <v>0</v>
      </c>
      <c r="J65" s="85">
        <v>0</v>
      </c>
      <c r="K65" s="85">
        <f t="shared" si="31"/>
        <v>0</v>
      </c>
      <c r="L65" s="28">
        <v>0</v>
      </c>
      <c r="M65" s="223"/>
      <c r="N65" s="138"/>
      <c r="O65" s="138">
        <f t="shared" si="40"/>
        <v>0</v>
      </c>
      <c r="P65" s="156">
        <v>0</v>
      </c>
      <c r="Q65" s="236">
        <v>0</v>
      </c>
      <c r="R65" s="238">
        <v>0</v>
      </c>
      <c r="S65" s="239">
        <v>0</v>
      </c>
      <c r="T65" s="209"/>
      <c r="U65" s="28"/>
      <c r="V65" s="28">
        <v>0</v>
      </c>
      <c r="W65" s="28">
        <f t="shared" si="42"/>
        <v>0</v>
      </c>
      <c r="X65" s="19">
        <v>0</v>
      </c>
      <c r="Y65" s="28"/>
      <c r="Z65" s="28"/>
      <c r="AA65" s="28">
        <f t="shared" si="43"/>
        <v>0</v>
      </c>
      <c r="AB65" s="19">
        <v>68.010000000000005</v>
      </c>
      <c r="AC65" s="28"/>
      <c r="AD65" s="28"/>
      <c r="AE65" s="28">
        <f t="shared" si="35"/>
        <v>0</v>
      </c>
      <c r="AF65" s="120"/>
      <c r="AG65" s="135"/>
      <c r="AH65" s="135"/>
      <c r="AI65" s="135"/>
      <c r="AJ65" s="120"/>
      <c r="AK65" s="107">
        <v>0</v>
      </c>
      <c r="AL65" s="107">
        <v>0</v>
      </c>
      <c r="AM65" s="108">
        <f t="shared" si="33"/>
        <v>0</v>
      </c>
      <c r="AN65" s="114">
        <v>11113.42</v>
      </c>
      <c r="AO65" s="107"/>
      <c r="AP65" s="107"/>
      <c r="AQ65" s="108">
        <f t="shared" si="36"/>
        <v>0</v>
      </c>
      <c r="AR65" s="114"/>
      <c r="AS65" s="107">
        <f t="shared" si="37"/>
        <v>0</v>
      </c>
      <c r="AT65" s="107">
        <f t="shared" si="38"/>
        <v>0</v>
      </c>
      <c r="AU65" s="108">
        <f t="shared" si="39"/>
        <v>0</v>
      </c>
      <c r="AV65" s="108">
        <f t="shared" si="34"/>
        <v>11181.43</v>
      </c>
      <c r="AW65" s="152">
        <v>0</v>
      </c>
    </row>
    <row r="66" spans="1:50" ht="15" hidden="1" customHeight="1" x14ac:dyDescent="0.25">
      <c r="A66" s="15">
        <v>643</v>
      </c>
      <c r="B66" s="27" t="s">
        <v>66</v>
      </c>
      <c r="C66" s="52">
        <v>52</v>
      </c>
      <c r="D66" s="18">
        <v>0</v>
      </c>
      <c r="E66" s="18">
        <v>0</v>
      </c>
      <c r="F66" s="18">
        <f t="shared" si="41"/>
        <v>0</v>
      </c>
      <c r="G66" s="19">
        <v>0</v>
      </c>
      <c r="H66" s="20">
        <f>G66-'[1]Náklady Výnosy 2008 €'!F62</f>
        <v>0</v>
      </c>
      <c r="I66" s="217">
        <v>0</v>
      </c>
      <c r="J66" s="85">
        <v>0</v>
      </c>
      <c r="K66" s="85">
        <f t="shared" si="31"/>
        <v>0</v>
      </c>
      <c r="L66" s="28">
        <v>0</v>
      </c>
      <c r="M66" s="223"/>
      <c r="N66" s="138"/>
      <c r="O66" s="138">
        <f t="shared" si="40"/>
        <v>0</v>
      </c>
      <c r="P66" s="156">
        <v>0</v>
      </c>
      <c r="Q66" s="236">
        <v>0</v>
      </c>
      <c r="R66" s="238">
        <v>0</v>
      </c>
      <c r="S66" s="239">
        <v>0</v>
      </c>
      <c r="T66" s="209"/>
      <c r="U66" s="28"/>
      <c r="V66" s="28">
        <v>0</v>
      </c>
      <c r="W66" s="28">
        <f t="shared" si="42"/>
        <v>0</v>
      </c>
      <c r="X66" s="19">
        <v>0</v>
      </c>
      <c r="Y66" s="28"/>
      <c r="Z66" s="28"/>
      <c r="AA66" s="28">
        <f t="shared" si="43"/>
        <v>0</v>
      </c>
      <c r="AB66" s="19">
        <v>0</v>
      </c>
      <c r="AC66" s="28"/>
      <c r="AD66" s="28"/>
      <c r="AE66" s="28">
        <f t="shared" si="35"/>
        <v>0</v>
      </c>
      <c r="AF66" s="120"/>
      <c r="AG66" s="135"/>
      <c r="AH66" s="135"/>
      <c r="AI66" s="135"/>
      <c r="AJ66" s="120"/>
      <c r="AK66" s="107">
        <v>0</v>
      </c>
      <c r="AL66" s="107">
        <v>0</v>
      </c>
      <c r="AM66" s="108">
        <f t="shared" si="33"/>
        <v>0</v>
      </c>
      <c r="AN66" s="114">
        <v>0</v>
      </c>
      <c r="AO66" s="107"/>
      <c r="AP66" s="107"/>
      <c r="AQ66" s="108">
        <f t="shared" si="36"/>
        <v>0</v>
      </c>
      <c r="AR66" s="114"/>
      <c r="AS66" s="107">
        <f t="shared" si="37"/>
        <v>0</v>
      </c>
      <c r="AT66" s="107">
        <f t="shared" si="38"/>
        <v>0</v>
      </c>
      <c r="AU66" s="108">
        <f t="shared" si="39"/>
        <v>0</v>
      </c>
      <c r="AV66" s="108">
        <f t="shared" si="34"/>
        <v>0</v>
      </c>
      <c r="AW66" s="152">
        <v>0</v>
      </c>
    </row>
    <row r="67" spans="1:50" ht="14.25" customHeight="1" x14ac:dyDescent="0.25">
      <c r="A67" s="15">
        <v>644</v>
      </c>
      <c r="B67" s="27" t="s">
        <v>32</v>
      </c>
      <c r="C67" s="52">
        <v>53</v>
      </c>
      <c r="D67" s="18">
        <v>500</v>
      </c>
      <c r="E67" s="18">
        <v>100</v>
      </c>
      <c r="F67" s="18">
        <f t="shared" si="41"/>
        <v>600</v>
      </c>
      <c r="G67" s="19">
        <v>61.08</v>
      </c>
      <c r="H67" s="20">
        <f>G67-'[1]Náklady Výnosy 2008 €'!F63</f>
        <v>-1887112.7897470621</v>
      </c>
      <c r="I67" s="217">
        <v>0</v>
      </c>
      <c r="J67" s="85">
        <v>80</v>
      </c>
      <c r="K67" s="85">
        <f t="shared" si="31"/>
        <v>80</v>
      </c>
      <c r="L67" s="28">
        <v>86.52</v>
      </c>
      <c r="M67" s="223"/>
      <c r="N67" s="138"/>
      <c r="O67" s="138">
        <f t="shared" si="40"/>
        <v>0</v>
      </c>
      <c r="P67" s="156">
        <v>138.94</v>
      </c>
      <c r="Q67" s="236">
        <v>0</v>
      </c>
      <c r="R67" s="238">
        <v>0</v>
      </c>
      <c r="S67" s="239">
        <v>0</v>
      </c>
      <c r="T67" s="209">
        <v>86</v>
      </c>
      <c r="U67" s="28">
        <v>20</v>
      </c>
      <c r="V67" s="28">
        <v>10</v>
      </c>
      <c r="W67" s="28">
        <f t="shared" si="42"/>
        <v>30</v>
      </c>
      <c r="X67" s="19">
        <v>20.58</v>
      </c>
      <c r="Y67" s="28"/>
      <c r="Z67" s="28"/>
      <c r="AA67" s="28">
        <f t="shared" si="43"/>
        <v>0</v>
      </c>
      <c r="AB67" s="19">
        <v>28.23</v>
      </c>
      <c r="AC67" s="28"/>
      <c r="AD67" s="28"/>
      <c r="AE67" s="28">
        <f t="shared" si="35"/>
        <v>0</v>
      </c>
      <c r="AF67" s="120">
        <v>4</v>
      </c>
      <c r="AG67" s="149"/>
      <c r="AH67" s="145">
        <v>4000</v>
      </c>
      <c r="AI67" s="150">
        <f>AG67+AH67</f>
        <v>4000</v>
      </c>
      <c r="AJ67" s="120">
        <v>2273.63</v>
      </c>
      <c r="AK67" s="107">
        <v>0</v>
      </c>
      <c r="AL67" s="107">
        <v>160</v>
      </c>
      <c r="AM67" s="108">
        <f t="shared" si="33"/>
        <v>160</v>
      </c>
      <c r="AN67" s="114">
        <v>164.26</v>
      </c>
      <c r="AO67" s="107"/>
      <c r="AP67" s="107">
        <v>3</v>
      </c>
      <c r="AQ67" s="108">
        <f t="shared" si="36"/>
        <v>3</v>
      </c>
      <c r="AR67" s="114">
        <v>3</v>
      </c>
      <c r="AS67" s="107">
        <f t="shared" si="37"/>
        <v>520</v>
      </c>
      <c r="AT67" s="107">
        <f t="shared" si="38"/>
        <v>4353</v>
      </c>
      <c r="AU67" s="108">
        <f t="shared" si="39"/>
        <v>4873</v>
      </c>
      <c r="AV67" s="108">
        <f t="shared" si="34"/>
        <v>2866.24</v>
      </c>
      <c r="AW67" s="152">
        <v>5331</v>
      </c>
    </row>
    <row r="68" spans="1:50" ht="15" hidden="1" customHeight="1" x14ac:dyDescent="0.25">
      <c r="A68" s="15">
        <v>645</v>
      </c>
      <c r="B68" s="27" t="s">
        <v>67</v>
      </c>
      <c r="C68" s="52">
        <v>54</v>
      </c>
      <c r="D68" s="18">
        <v>0</v>
      </c>
      <c r="E68" s="18">
        <v>0</v>
      </c>
      <c r="F68" s="18">
        <f t="shared" si="41"/>
        <v>0</v>
      </c>
      <c r="G68" s="19">
        <v>0.63</v>
      </c>
      <c r="H68" s="21">
        <f>G68-'[1]Náklady Výnosy 2008 €'!F64</f>
        <v>-69208.690852419822</v>
      </c>
      <c r="I68" s="217">
        <v>0</v>
      </c>
      <c r="J68" s="85">
        <v>0</v>
      </c>
      <c r="K68" s="85">
        <f t="shared" si="31"/>
        <v>0</v>
      </c>
      <c r="L68" s="28">
        <v>-9.66</v>
      </c>
      <c r="M68" s="223"/>
      <c r="N68" s="138"/>
      <c r="O68" s="138">
        <f t="shared" si="40"/>
        <v>0</v>
      </c>
      <c r="P68" s="156">
        <v>5.15</v>
      </c>
      <c r="Q68" s="236">
        <v>0</v>
      </c>
      <c r="R68" s="238">
        <v>0</v>
      </c>
      <c r="S68" s="239">
        <v>0</v>
      </c>
      <c r="T68" s="209"/>
      <c r="U68" s="28"/>
      <c r="V68" s="28">
        <v>0</v>
      </c>
      <c r="W68" s="28">
        <f t="shared" si="42"/>
        <v>0</v>
      </c>
      <c r="X68" s="19">
        <v>0.44</v>
      </c>
      <c r="Y68" s="28"/>
      <c r="Z68" s="28"/>
      <c r="AA68" s="28">
        <f t="shared" si="43"/>
        <v>0</v>
      </c>
      <c r="AB68" s="19">
        <v>0</v>
      </c>
      <c r="AC68" s="28"/>
      <c r="AD68" s="28"/>
      <c r="AE68" s="28">
        <f t="shared" si="35"/>
        <v>0</v>
      </c>
      <c r="AF68" s="120"/>
      <c r="AG68" s="28"/>
      <c r="AH68" s="28"/>
      <c r="AI68" s="28"/>
      <c r="AJ68" s="120"/>
      <c r="AK68" s="107">
        <v>0</v>
      </c>
      <c r="AL68" s="107">
        <v>0</v>
      </c>
      <c r="AM68" s="108">
        <f t="shared" si="33"/>
        <v>0</v>
      </c>
      <c r="AN68" s="114">
        <v>0</v>
      </c>
      <c r="AO68" s="107"/>
      <c r="AP68" s="107"/>
      <c r="AQ68" s="108">
        <f t="shared" si="36"/>
        <v>0</v>
      </c>
      <c r="AR68" s="114"/>
      <c r="AS68" s="107">
        <f t="shared" si="37"/>
        <v>0</v>
      </c>
      <c r="AT68" s="107">
        <f t="shared" si="38"/>
        <v>0</v>
      </c>
      <c r="AU68" s="108">
        <f t="shared" si="39"/>
        <v>0</v>
      </c>
      <c r="AV68" s="108">
        <f t="shared" si="34"/>
        <v>-3.4399999999999991</v>
      </c>
      <c r="AW68" s="152">
        <v>0</v>
      </c>
    </row>
    <row r="69" spans="1:50" ht="14.25" customHeight="1" x14ac:dyDescent="0.25">
      <c r="A69" s="15">
        <v>646</v>
      </c>
      <c r="B69" s="27" t="s">
        <v>68</v>
      </c>
      <c r="C69" s="52">
        <v>55</v>
      </c>
      <c r="D69" s="23">
        <v>0</v>
      </c>
      <c r="E69" s="18">
        <v>0</v>
      </c>
      <c r="F69" s="18">
        <f t="shared" si="41"/>
        <v>0</v>
      </c>
      <c r="G69" s="19">
        <v>0</v>
      </c>
      <c r="H69" s="21">
        <f>G69-'[1]Náklady Výnosy 2008 €'!F65</f>
        <v>-3485.3614817765383</v>
      </c>
      <c r="I69" s="217">
        <v>0</v>
      </c>
      <c r="J69" s="85">
        <v>0</v>
      </c>
      <c r="K69" s="85">
        <f t="shared" si="31"/>
        <v>0</v>
      </c>
      <c r="L69" s="28">
        <v>0</v>
      </c>
      <c r="M69" s="223"/>
      <c r="N69" s="138"/>
      <c r="O69" s="138">
        <f t="shared" si="40"/>
        <v>0</v>
      </c>
      <c r="P69" s="156">
        <v>0</v>
      </c>
      <c r="Q69" s="236">
        <v>0</v>
      </c>
      <c r="R69" s="238">
        <v>0</v>
      </c>
      <c r="S69" s="239">
        <v>0</v>
      </c>
      <c r="T69" s="209"/>
      <c r="U69" s="28"/>
      <c r="V69" s="28">
        <v>0</v>
      </c>
      <c r="W69" s="28">
        <f t="shared" si="42"/>
        <v>0</v>
      </c>
      <c r="X69" s="19">
        <v>0</v>
      </c>
      <c r="Y69" s="28"/>
      <c r="Z69" s="28"/>
      <c r="AA69" s="28">
        <f t="shared" si="43"/>
        <v>0</v>
      </c>
      <c r="AB69" s="19">
        <v>657</v>
      </c>
      <c r="AC69" s="28"/>
      <c r="AD69" s="28"/>
      <c r="AE69" s="28">
        <f t="shared" si="35"/>
        <v>0</v>
      </c>
      <c r="AF69" s="120"/>
      <c r="AG69" s="28"/>
      <c r="AH69" s="28"/>
      <c r="AI69" s="28"/>
      <c r="AJ69" s="120"/>
      <c r="AK69" s="107">
        <v>0</v>
      </c>
      <c r="AL69" s="107">
        <v>0</v>
      </c>
      <c r="AM69" s="108">
        <f t="shared" si="33"/>
        <v>0</v>
      </c>
      <c r="AN69" s="114">
        <v>0</v>
      </c>
      <c r="AO69" s="107"/>
      <c r="AP69" s="107"/>
      <c r="AQ69" s="108">
        <f t="shared" si="36"/>
        <v>0</v>
      </c>
      <c r="AR69" s="114"/>
      <c r="AS69" s="107">
        <f t="shared" si="37"/>
        <v>0</v>
      </c>
      <c r="AT69" s="107">
        <f t="shared" si="38"/>
        <v>0</v>
      </c>
      <c r="AU69" s="108">
        <f t="shared" si="39"/>
        <v>0</v>
      </c>
      <c r="AV69" s="108">
        <f t="shared" si="34"/>
        <v>657</v>
      </c>
      <c r="AW69" s="152">
        <v>0</v>
      </c>
    </row>
    <row r="70" spans="1:50" ht="0.75" customHeight="1" x14ac:dyDescent="0.25">
      <c r="A70" s="15">
        <v>647</v>
      </c>
      <c r="B70" s="27" t="s">
        <v>69</v>
      </c>
      <c r="C70" s="52">
        <v>56</v>
      </c>
      <c r="D70" s="23">
        <v>0</v>
      </c>
      <c r="E70" s="18">
        <v>0</v>
      </c>
      <c r="F70" s="18">
        <f t="shared" si="41"/>
        <v>0</v>
      </c>
      <c r="G70" s="19">
        <v>0</v>
      </c>
      <c r="H70" s="21">
        <f>G70-'[1]Náklady Výnosy 2008 €'!F66</f>
        <v>0</v>
      </c>
      <c r="I70" s="217">
        <v>0</v>
      </c>
      <c r="J70" s="85">
        <v>0</v>
      </c>
      <c r="K70" s="85">
        <f t="shared" si="31"/>
        <v>0</v>
      </c>
      <c r="L70" s="28">
        <v>0</v>
      </c>
      <c r="M70" s="223"/>
      <c r="N70" s="138"/>
      <c r="O70" s="138">
        <f t="shared" si="40"/>
        <v>0</v>
      </c>
      <c r="P70" s="156">
        <v>0</v>
      </c>
      <c r="Q70" s="236">
        <v>0</v>
      </c>
      <c r="R70" s="238">
        <v>0</v>
      </c>
      <c r="S70" s="239">
        <v>0</v>
      </c>
      <c r="T70" s="209">
        <v>1617269</v>
      </c>
      <c r="U70" s="28"/>
      <c r="V70" s="28">
        <v>0</v>
      </c>
      <c r="W70" s="28">
        <f t="shared" si="42"/>
        <v>0</v>
      </c>
      <c r="X70" s="19">
        <v>0</v>
      </c>
      <c r="Y70" s="28"/>
      <c r="Z70" s="28"/>
      <c r="AA70" s="28">
        <f t="shared" si="43"/>
        <v>0</v>
      </c>
      <c r="AB70" s="19">
        <v>0</v>
      </c>
      <c r="AC70" s="28"/>
      <c r="AD70" s="28"/>
      <c r="AE70" s="28">
        <f t="shared" si="35"/>
        <v>0</v>
      </c>
      <c r="AF70" s="120"/>
      <c r="AG70" s="28"/>
      <c r="AH70" s="28"/>
      <c r="AI70" s="28"/>
      <c r="AJ70" s="120"/>
      <c r="AK70" s="107">
        <v>0</v>
      </c>
      <c r="AL70" s="107">
        <v>0</v>
      </c>
      <c r="AM70" s="108">
        <f t="shared" si="33"/>
        <v>0</v>
      </c>
      <c r="AN70" s="114">
        <v>0</v>
      </c>
      <c r="AO70" s="107"/>
      <c r="AP70" s="107"/>
      <c r="AQ70" s="108">
        <f t="shared" si="36"/>
        <v>0</v>
      </c>
      <c r="AR70" s="114"/>
      <c r="AS70" s="107">
        <f t="shared" si="37"/>
        <v>0</v>
      </c>
      <c r="AT70" s="107">
        <f t="shared" si="38"/>
        <v>0</v>
      </c>
      <c r="AU70" s="108">
        <f t="shared" si="39"/>
        <v>0</v>
      </c>
      <c r="AV70" s="108">
        <f t="shared" si="34"/>
        <v>1617269</v>
      </c>
      <c r="AW70" s="152">
        <v>0</v>
      </c>
    </row>
    <row r="71" spans="1:50" ht="15" hidden="1" customHeight="1" x14ac:dyDescent="0.25">
      <c r="A71" s="15">
        <v>648</v>
      </c>
      <c r="B71" s="27" t="s">
        <v>70</v>
      </c>
      <c r="C71" s="52">
        <v>57</v>
      </c>
      <c r="D71" s="23">
        <v>0</v>
      </c>
      <c r="E71" s="18">
        <v>0</v>
      </c>
      <c r="F71" s="18">
        <f t="shared" si="41"/>
        <v>0</v>
      </c>
      <c r="G71" s="19">
        <v>0</v>
      </c>
      <c r="H71" s="20">
        <f>G71-'[1]Náklady Výnosy 2008 €'!F67</f>
        <v>0</v>
      </c>
      <c r="I71" s="217">
        <v>0</v>
      </c>
      <c r="J71" s="85">
        <v>0</v>
      </c>
      <c r="K71" s="85">
        <f t="shared" si="31"/>
        <v>0</v>
      </c>
      <c r="L71" s="28">
        <v>0</v>
      </c>
      <c r="M71" s="223"/>
      <c r="N71" s="138"/>
      <c r="O71" s="138">
        <f t="shared" si="40"/>
        <v>0</v>
      </c>
      <c r="P71" s="156">
        <v>0</v>
      </c>
      <c r="Q71" s="236">
        <v>0</v>
      </c>
      <c r="R71" s="238">
        <v>0</v>
      </c>
      <c r="S71" s="239">
        <v>0</v>
      </c>
      <c r="T71" s="209"/>
      <c r="U71" s="28"/>
      <c r="V71" s="28">
        <v>0</v>
      </c>
      <c r="W71" s="28">
        <f t="shared" si="42"/>
        <v>0</v>
      </c>
      <c r="X71" s="19">
        <v>0</v>
      </c>
      <c r="Y71" s="28"/>
      <c r="Z71" s="28"/>
      <c r="AA71" s="28">
        <f t="shared" si="43"/>
        <v>0</v>
      </c>
      <c r="AB71" s="19">
        <v>0</v>
      </c>
      <c r="AC71" s="28"/>
      <c r="AD71" s="28"/>
      <c r="AE71" s="28">
        <f t="shared" si="35"/>
        <v>0</v>
      </c>
      <c r="AF71" s="120"/>
      <c r="AG71" s="28"/>
      <c r="AH71" s="28"/>
      <c r="AI71" s="28"/>
      <c r="AJ71" s="120"/>
      <c r="AK71" s="107">
        <v>0</v>
      </c>
      <c r="AL71" s="107">
        <v>0</v>
      </c>
      <c r="AM71" s="108">
        <f t="shared" si="33"/>
        <v>0</v>
      </c>
      <c r="AN71" s="114">
        <v>0</v>
      </c>
      <c r="AO71" s="107"/>
      <c r="AP71" s="107"/>
      <c r="AQ71" s="108">
        <f t="shared" si="36"/>
        <v>0</v>
      </c>
      <c r="AR71" s="114"/>
      <c r="AS71" s="107">
        <f t="shared" si="37"/>
        <v>0</v>
      </c>
      <c r="AT71" s="107">
        <f t="shared" si="38"/>
        <v>0</v>
      </c>
      <c r="AU71" s="108">
        <f t="shared" si="39"/>
        <v>0</v>
      </c>
      <c r="AV71" s="108">
        <f t="shared" si="34"/>
        <v>0</v>
      </c>
      <c r="AW71" s="152">
        <v>6000</v>
      </c>
    </row>
    <row r="72" spans="1:50" ht="15" customHeight="1" x14ac:dyDescent="0.25">
      <c r="A72" s="15">
        <v>649</v>
      </c>
      <c r="B72" s="16" t="s">
        <v>71</v>
      </c>
      <c r="C72" s="52">
        <v>58</v>
      </c>
      <c r="D72" s="26">
        <v>585240</v>
      </c>
      <c r="E72" s="18">
        <v>1000</v>
      </c>
      <c r="F72" s="18">
        <f t="shared" si="41"/>
        <v>586240</v>
      </c>
      <c r="G72" s="19">
        <v>768315.77</v>
      </c>
      <c r="H72" s="20">
        <f>G72-'[1]Náklady Výnosy 2008 €'!F68</f>
        <v>-4943859.7594430055</v>
      </c>
      <c r="I72" s="217">
        <f>840000+167000</f>
        <v>1007000</v>
      </c>
      <c r="J72" s="85">
        <v>0</v>
      </c>
      <c r="K72" s="85">
        <f t="shared" si="31"/>
        <v>1007000</v>
      </c>
      <c r="L72" s="28">
        <v>920829.9</v>
      </c>
      <c r="M72" s="223">
        <v>1320000</v>
      </c>
      <c r="N72" s="138">
        <v>200000</v>
      </c>
      <c r="O72" s="138">
        <f t="shared" ref="O72" si="44">SUM(M72:N72)</f>
        <v>1520000</v>
      </c>
      <c r="P72" s="140">
        <v>1950044.6</v>
      </c>
      <c r="Q72" s="236">
        <v>1200000</v>
      </c>
      <c r="R72" s="238">
        <v>245000</v>
      </c>
      <c r="S72" s="239">
        <v>1445000</v>
      </c>
      <c r="T72" s="209">
        <v>1617267</v>
      </c>
      <c r="U72" s="28">
        <v>240000</v>
      </c>
      <c r="V72" s="28">
        <v>0</v>
      </c>
      <c r="W72" s="28">
        <f t="shared" si="42"/>
        <v>240000</v>
      </c>
      <c r="X72" s="19">
        <v>235979.31</v>
      </c>
      <c r="Y72" s="28">
        <v>1490000</v>
      </c>
      <c r="Z72" s="28"/>
      <c r="AA72" s="28">
        <f t="shared" si="43"/>
        <v>1490000</v>
      </c>
      <c r="AB72" s="19">
        <v>1599724.31</v>
      </c>
      <c r="AC72" s="28">
        <v>140777</v>
      </c>
      <c r="AD72" s="28"/>
      <c r="AE72" s="28">
        <f t="shared" si="35"/>
        <v>140777</v>
      </c>
      <c r="AF72" s="120">
        <v>173434</v>
      </c>
      <c r="AG72" s="149">
        <f>201200+43000</f>
        <v>244200</v>
      </c>
      <c r="AH72" s="145">
        <v>190000</v>
      </c>
      <c r="AI72" s="150">
        <f t="shared" ref="AI72" si="45">AG72+AH72</f>
        <v>434200</v>
      </c>
      <c r="AJ72" s="120">
        <v>874673</v>
      </c>
      <c r="AK72" s="107">
        <v>0</v>
      </c>
      <c r="AL72" s="107">
        <v>80000</v>
      </c>
      <c r="AM72" s="108">
        <f t="shared" si="33"/>
        <v>80000</v>
      </c>
      <c r="AN72" s="114">
        <v>104118.92</v>
      </c>
      <c r="AO72" s="107"/>
      <c r="AP72" s="107">
        <v>111600</v>
      </c>
      <c r="AQ72" s="108">
        <f t="shared" si="36"/>
        <v>111600</v>
      </c>
      <c r="AR72" s="114">
        <v>53262</v>
      </c>
      <c r="AS72" s="107">
        <f t="shared" si="37"/>
        <v>6227217</v>
      </c>
      <c r="AT72" s="107">
        <f t="shared" si="38"/>
        <v>827600</v>
      </c>
      <c r="AU72" s="108">
        <f t="shared" si="39"/>
        <v>7054817</v>
      </c>
      <c r="AV72" s="108">
        <f t="shared" si="34"/>
        <v>8297648.8099999987</v>
      </c>
      <c r="AW72" s="152">
        <v>7711041</v>
      </c>
      <c r="AX72" s="21"/>
    </row>
    <row r="73" spans="1:50" ht="0.75" customHeight="1" x14ac:dyDescent="0.25">
      <c r="A73" s="15">
        <v>651</v>
      </c>
      <c r="B73" s="27" t="s">
        <v>72</v>
      </c>
      <c r="C73" s="52">
        <v>59</v>
      </c>
      <c r="D73" s="23">
        <v>0</v>
      </c>
      <c r="E73" s="18">
        <v>0</v>
      </c>
      <c r="F73" s="18">
        <f t="shared" si="41"/>
        <v>0</v>
      </c>
      <c r="G73" s="19">
        <v>0</v>
      </c>
      <c r="H73" s="21">
        <f>G73-'[1]Náklady Výnosy 2008 €'!F69</f>
        <v>-326130.25293766183</v>
      </c>
      <c r="I73" s="217">
        <v>0</v>
      </c>
      <c r="J73" s="85">
        <v>0</v>
      </c>
      <c r="K73" s="85">
        <f t="shared" si="31"/>
        <v>0</v>
      </c>
      <c r="L73" s="28">
        <v>129634.53</v>
      </c>
      <c r="M73" s="223"/>
      <c r="N73" s="138"/>
      <c r="O73" s="138">
        <f t="shared" si="40"/>
        <v>0</v>
      </c>
      <c r="P73" s="156">
        <v>0</v>
      </c>
      <c r="Q73" s="236">
        <v>0</v>
      </c>
      <c r="R73" s="238">
        <v>0</v>
      </c>
      <c r="S73" s="239">
        <v>0</v>
      </c>
      <c r="T73" s="209"/>
      <c r="U73" s="28"/>
      <c r="V73" s="28">
        <v>0</v>
      </c>
      <c r="W73" s="28">
        <f t="shared" si="42"/>
        <v>0</v>
      </c>
      <c r="X73" s="19">
        <v>0</v>
      </c>
      <c r="Y73" s="28"/>
      <c r="Z73" s="28"/>
      <c r="AA73" s="28">
        <f t="shared" si="43"/>
        <v>0</v>
      </c>
      <c r="AB73" s="19">
        <v>0</v>
      </c>
      <c r="AC73" s="28"/>
      <c r="AD73" s="28"/>
      <c r="AE73" s="28">
        <f t="shared" si="35"/>
        <v>0</v>
      </c>
      <c r="AF73" s="120"/>
      <c r="AG73" s="28"/>
      <c r="AH73" s="28"/>
      <c r="AI73" s="28"/>
      <c r="AJ73" s="120"/>
      <c r="AK73" s="107">
        <v>0</v>
      </c>
      <c r="AL73" s="107">
        <v>0</v>
      </c>
      <c r="AM73" s="108">
        <f t="shared" si="33"/>
        <v>0</v>
      </c>
      <c r="AN73" s="114">
        <v>0</v>
      </c>
      <c r="AO73" s="107"/>
      <c r="AP73" s="107"/>
      <c r="AQ73" s="108">
        <f t="shared" si="36"/>
        <v>0</v>
      </c>
      <c r="AR73" s="114"/>
      <c r="AS73" s="107">
        <f t="shared" si="37"/>
        <v>0</v>
      </c>
      <c r="AT73" s="107">
        <f t="shared" si="38"/>
        <v>0</v>
      </c>
      <c r="AU73" s="108">
        <f t="shared" si="39"/>
        <v>0</v>
      </c>
      <c r="AV73" s="108">
        <f t="shared" si="34"/>
        <v>129634.53</v>
      </c>
      <c r="AW73" s="152">
        <v>0</v>
      </c>
    </row>
    <row r="74" spans="1:50" ht="15" hidden="1" customHeight="1" x14ac:dyDescent="0.25">
      <c r="A74" s="53">
        <v>652</v>
      </c>
      <c r="B74" s="54" t="s">
        <v>73</v>
      </c>
      <c r="C74" s="52">
        <v>60</v>
      </c>
      <c r="D74" s="23">
        <v>0</v>
      </c>
      <c r="E74" s="18">
        <v>0</v>
      </c>
      <c r="F74" s="18">
        <f t="shared" si="41"/>
        <v>0</v>
      </c>
      <c r="G74" s="19">
        <v>0</v>
      </c>
      <c r="H74" s="20">
        <f>G74-'[1]Náklady Výnosy 2008 €'!F70</f>
        <v>-2456.349996680608</v>
      </c>
      <c r="I74" s="217">
        <v>0</v>
      </c>
      <c r="J74" s="85">
        <v>0</v>
      </c>
      <c r="K74" s="85">
        <f t="shared" si="31"/>
        <v>0</v>
      </c>
      <c r="L74" s="28">
        <v>0</v>
      </c>
      <c r="M74" s="223"/>
      <c r="N74" s="138"/>
      <c r="O74" s="138">
        <f t="shared" si="40"/>
        <v>0</v>
      </c>
      <c r="P74" s="156">
        <v>0</v>
      </c>
      <c r="Q74" s="236">
        <v>0</v>
      </c>
      <c r="R74" s="238">
        <v>0</v>
      </c>
      <c r="S74" s="239">
        <v>0</v>
      </c>
      <c r="T74" s="209"/>
      <c r="U74" s="28"/>
      <c r="V74" s="28">
        <v>0</v>
      </c>
      <c r="W74" s="28">
        <f t="shared" si="42"/>
        <v>0</v>
      </c>
      <c r="X74" s="19">
        <v>0</v>
      </c>
      <c r="Y74" s="28"/>
      <c r="Z74" s="28"/>
      <c r="AA74" s="28">
        <f t="shared" si="43"/>
        <v>0</v>
      </c>
      <c r="AB74" s="19">
        <v>0</v>
      </c>
      <c r="AC74" s="28"/>
      <c r="AD74" s="28"/>
      <c r="AE74" s="28">
        <f t="shared" si="35"/>
        <v>0</v>
      </c>
      <c r="AF74" s="120"/>
      <c r="AG74" s="28"/>
      <c r="AH74" s="28"/>
      <c r="AI74" s="28"/>
      <c r="AJ74" s="120"/>
      <c r="AK74" s="107">
        <v>0</v>
      </c>
      <c r="AL74" s="107">
        <v>0</v>
      </c>
      <c r="AM74" s="108">
        <f t="shared" si="33"/>
        <v>0</v>
      </c>
      <c r="AN74" s="114">
        <v>0</v>
      </c>
      <c r="AO74" s="107"/>
      <c r="AP74" s="107"/>
      <c r="AQ74" s="108">
        <f t="shared" si="36"/>
        <v>0</v>
      </c>
      <c r="AR74" s="114"/>
      <c r="AS74" s="107">
        <f t="shared" si="37"/>
        <v>0</v>
      </c>
      <c r="AT74" s="107">
        <f t="shared" si="38"/>
        <v>0</v>
      </c>
      <c r="AU74" s="108">
        <f t="shared" si="39"/>
        <v>0</v>
      </c>
      <c r="AV74" s="108">
        <f t="shared" si="34"/>
        <v>0</v>
      </c>
      <c r="AW74" s="152">
        <v>0</v>
      </c>
    </row>
    <row r="75" spans="1:50" ht="15" hidden="1" customHeight="1" x14ac:dyDescent="0.25">
      <c r="A75" s="15">
        <v>653</v>
      </c>
      <c r="B75" s="16" t="s">
        <v>74</v>
      </c>
      <c r="C75" s="52">
        <v>61</v>
      </c>
      <c r="D75" s="23">
        <v>0</v>
      </c>
      <c r="E75" s="18">
        <v>0</v>
      </c>
      <c r="F75" s="18">
        <f t="shared" si="41"/>
        <v>0</v>
      </c>
      <c r="G75" s="19">
        <v>0</v>
      </c>
      <c r="H75" s="20">
        <f>G75-'[1]Náklady Výnosy 2008 €'!F71</f>
        <v>0</v>
      </c>
      <c r="I75" s="217">
        <v>0</v>
      </c>
      <c r="J75" s="85">
        <v>0</v>
      </c>
      <c r="K75" s="85">
        <f t="shared" si="31"/>
        <v>0</v>
      </c>
      <c r="L75" s="28">
        <v>0</v>
      </c>
      <c r="M75" s="223"/>
      <c r="N75" s="138"/>
      <c r="O75" s="138">
        <f t="shared" si="40"/>
        <v>0</v>
      </c>
      <c r="P75" s="156">
        <v>0</v>
      </c>
      <c r="Q75" s="236">
        <v>0</v>
      </c>
      <c r="R75" s="238">
        <v>0</v>
      </c>
      <c r="S75" s="239">
        <v>0</v>
      </c>
      <c r="T75" s="209"/>
      <c r="U75" s="28"/>
      <c r="V75" s="28">
        <v>0</v>
      </c>
      <c r="W75" s="28">
        <f t="shared" si="42"/>
        <v>0</v>
      </c>
      <c r="X75" s="19">
        <v>0</v>
      </c>
      <c r="Y75" s="28"/>
      <c r="Z75" s="28"/>
      <c r="AA75" s="28">
        <f t="shared" si="43"/>
        <v>0</v>
      </c>
      <c r="AB75" s="19">
        <v>0</v>
      </c>
      <c r="AC75" s="28"/>
      <c r="AD75" s="28"/>
      <c r="AE75" s="28">
        <f t="shared" si="35"/>
        <v>0</v>
      </c>
      <c r="AF75" s="120"/>
      <c r="AG75" s="28"/>
      <c r="AH75" s="28"/>
      <c r="AI75" s="28"/>
      <c r="AJ75" s="120"/>
      <c r="AK75" s="107">
        <v>0</v>
      </c>
      <c r="AL75" s="107">
        <v>0</v>
      </c>
      <c r="AM75" s="108">
        <f t="shared" si="33"/>
        <v>0</v>
      </c>
      <c r="AN75" s="114">
        <v>0</v>
      </c>
      <c r="AO75" s="107"/>
      <c r="AP75" s="107"/>
      <c r="AQ75" s="108">
        <f t="shared" si="36"/>
        <v>0</v>
      </c>
      <c r="AR75" s="114"/>
      <c r="AS75" s="107">
        <f t="shared" si="37"/>
        <v>0</v>
      </c>
      <c r="AT75" s="107">
        <f t="shared" si="38"/>
        <v>0</v>
      </c>
      <c r="AU75" s="108">
        <f t="shared" si="39"/>
        <v>0</v>
      </c>
      <c r="AV75" s="108">
        <f t="shared" si="34"/>
        <v>0</v>
      </c>
      <c r="AW75" s="152">
        <v>0</v>
      </c>
    </row>
    <row r="76" spans="1:50" ht="15" hidden="1" customHeight="1" x14ac:dyDescent="0.25">
      <c r="A76" s="15">
        <v>654</v>
      </c>
      <c r="B76" s="16" t="s">
        <v>75</v>
      </c>
      <c r="C76" s="52">
        <v>62</v>
      </c>
      <c r="D76" s="23">
        <v>0</v>
      </c>
      <c r="E76" s="18">
        <v>0</v>
      </c>
      <c r="F76" s="18">
        <f t="shared" si="41"/>
        <v>0</v>
      </c>
      <c r="G76" s="19">
        <v>0</v>
      </c>
      <c r="H76" s="20">
        <f>G76-'[1]Náklady Výnosy 2008 €'!F72</f>
        <v>0</v>
      </c>
      <c r="I76" s="217">
        <v>0</v>
      </c>
      <c r="J76" s="85">
        <v>0</v>
      </c>
      <c r="K76" s="85">
        <f t="shared" si="31"/>
        <v>0</v>
      </c>
      <c r="L76" s="28">
        <v>0</v>
      </c>
      <c r="M76" s="223"/>
      <c r="N76" s="138"/>
      <c r="O76" s="138">
        <f t="shared" si="40"/>
        <v>0</v>
      </c>
      <c r="P76" s="156">
        <v>0</v>
      </c>
      <c r="Q76" s="236">
        <v>0</v>
      </c>
      <c r="R76" s="238">
        <v>0</v>
      </c>
      <c r="S76" s="239">
        <v>0</v>
      </c>
      <c r="T76" s="209"/>
      <c r="U76" s="28"/>
      <c r="V76" s="28">
        <v>0</v>
      </c>
      <c r="W76" s="28">
        <f t="shared" si="42"/>
        <v>0</v>
      </c>
      <c r="X76" s="19">
        <v>0</v>
      </c>
      <c r="Y76" s="28"/>
      <c r="Z76" s="28"/>
      <c r="AA76" s="28">
        <f t="shared" si="43"/>
        <v>0</v>
      </c>
      <c r="AB76" s="19">
        <v>0</v>
      </c>
      <c r="AC76" s="28"/>
      <c r="AD76" s="28"/>
      <c r="AE76" s="28">
        <f t="shared" si="35"/>
        <v>0</v>
      </c>
      <c r="AF76" s="120"/>
      <c r="AG76" s="28"/>
      <c r="AH76" s="28"/>
      <c r="AI76" s="28"/>
      <c r="AJ76" s="120"/>
      <c r="AK76" s="107">
        <v>0</v>
      </c>
      <c r="AL76" s="107">
        <v>0</v>
      </c>
      <c r="AM76" s="108">
        <f t="shared" si="33"/>
        <v>0</v>
      </c>
      <c r="AN76" s="114">
        <v>0</v>
      </c>
      <c r="AO76" s="107"/>
      <c r="AP76" s="107"/>
      <c r="AQ76" s="108">
        <f t="shared" si="36"/>
        <v>0</v>
      </c>
      <c r="AR76" s="114"/>
      <c r="AS76" s="107">
        <f t="shared" si="37"/>
        <v>0</v>
      </c>
      <c r="AT76" s="107">
        <f t="shared" si="38"/>
        <v>0</v>
      </c>
      <c r="AU76" s="108">
        <f t="shared" si="39"/>
        <v>0</v>
      </c>
      <c r="AV76" s="108">
        <f t="shared" si="34"/>
        <v>0</v>
      </c>
      <c r="AW76" s="152">
        <v>0</v>
      </c>
    </row>
    <row r="77" spans="1:50" ht="15" hidden="1" customHeight="1" x14ac:dyDescent="0.25">
      <c r="A77" s="15">
        <v>655</v>
      </c>
      <c r="B77" s="16" t="s">
        <v>76</v>
      </c>
      <c r="C77" s="52">
        <v>63</v>
      </c>
      <c r="D77" s="23">
        <v>0</v>
      </c>
      <c r="E77" s="18">
        <v>0</v>
      </c>
      <c r="F77" s="18">
        <f t="shared" si="41"/>
        <v>0</v>
      </c>
      <c r="G77" s="19">
        <v>0</v>
      </c>
      <c r="H77" s="20">
        <f>G77-'[1]Náklady Výnosy 2008 €'!F73</f>
        <v>0</v>
      </c>
      <c r="I77" s="217">
        <v>0</v>
      </c>
      <c r="J77" s="85">
        <v>0</v>
      </c>
      <c r="K77" s="85">
        <f t="shared" si="31"/>
        <v>0</v>
      </c>
      <c r="L77" s="28">
        <v>0</v>
      </c>
      <c r="M77" s="223"/>
      <c r="N77" s="138"/>
      <c r="O77" s="138">
        <f t="shared" si="40"/>
        <v>0</v>
      </c>
      <c r="P77" s="156">
        <v>0</v>
      </c>
      <c r="Q77" s="236">
        <v>0</v>
      </c>
      <c r="R77" s="238">
        <v>0</v>
      </c>
      <c r="S77" s="239">
        <v>0</v>
      </c>
      <c r="T77" s="209"/>
      <c r="U77" s="28"/>
      <c r="V77" s="28">
        <v>0</v>
      </c>
      <c r="W77" s="28">
        <f t="shared" si="42"/>
        <v>0</v>
      </c>
      <c r="X77" s="19">
        <v>0</v>
      </c>
      <c r="Y77" s="28"/>
      <c r="Z77" s="28"/>
      <c r="AA77" s="28">
        <f t="shared" si="43"/>
        <v>0</v>
      </c>
      <c r="AB77" s="19">
        <v>0</v>
      </c>
      <c r="AC77" s="28"/>
      <c r="AD77" s="28"/>
      <c r="AE77" s="28">
        <f t="shared" si="35"/>
        <v>0</v>
      </c>
      <c r="AF77" s="120"/>
      <c r="AG77" s="28"/>
      <c r="AH77" s="28"/>
      <c r="AI77" s="28"/>
      <c r="AJ77" s="120"/>
      <c r="AK77" s="107">
        <v>0</v>
      </c>
      <c r="AL77" s="107">
        <v>0</v>
      </c>
      <c r="AM77" s="108">
        <f t="shared" si="33"/>
        <v>0</v>
      </c>
      <c r="AN77" s="114">
        <v>0</v>
      </c>
      <c r="AO77" s="107"/>
      <c r="AP77" s="107"/>
      <c r="AQ77" s="108">
        <f t="shared" si="36"/>
        <v>0</v>
      </c>
      <c r="AR77" s="114"/>
      <c r="AS77" s="107">
        <f t="shared" si="37"/>
        <v>0</v>
      </c>
      <c r="AT77" s="107">
        <f t="shared" si="38"/>
        <v>0</v>
      </c>
      <c r="AU77" s="108">
        <f t="shared" si="39"/>
        <v>0</v>
      </c>
      <c r="AV77" s="108">
        <f t="shared" si="34"/>
        <v>0</v>
      </c>
      <c r="AW77" s="152">
        <v>0</v>
      </c>
    </row>
    <row r="78" spans="1:50" ht="15" customHeight="1" x14ac:dyDescent="0.25">
      <c r="A78" s="15">
        <v>656</v>
      </c>
      <c r="B78" s="16" t="s">
        <v>77</v>
      </c>
      <c r="C78" s="52">
        <v>64</v>
      </c>
      <c r="D78" s="23">
        <v>350000</v>
      </c>
      <c r="E78" s="18">
        <v>0</v>
      </c>
      <c r="F78" s="18">
        <f t="shared" si="41"/>
        <v>350000</v>
      </c>
      <c r="G78" s="19">
        <v>348280.53</v>
      </c>
      <c r="H78" s="20">
        <f>G78-'[1]Náklady Výnosy 2008 €'!F74</f>
        <v>-494247.51886144851</v>
      </c>
      <c r="I78" s="217">
        <v>0</v>
      </c>
      <c r="J78" s="85">
        <v>0</v>
      </c>
      <c r="K78" s="85">
        <f t="shared" si="31"/>
        <v>0</v>
      </c>
      <c r="L78" s="28">
        <v>253648.41</v>
      </c>
      <c r="M78" s="223">
        <v>250000</v>
      </c>
      <c r="N78" s="138"/>
      <c r="O78" s="138">
        <f t="shared" ref="O78:O80" si="46">SUM(M78:N78)</f>
        <v>250000</v>
      </c>
      <c r="P78" s="140">
        <v>277148.37</v>
      </c>
      <c r="Q78" s="236">
        <v>352000</v>
      </c>
      <c r="R78" s="238">
        <v>0</v>
      </c>
      <c r="S78" s="239">
        <f>Q78+R78</f>
        <v>352000</v>
      </c>
      <c r="T78" s="209">
        <v>216309</v>
      </c>
      <c r="U78" s="28">
        <v>20000</v>
      </c>
      <c r="V78" s="28">
        <v>0</v>
      </c>
      <c r="W78" s="28">
        <f t="shared" si="42"/>
        <v>20000</v>
      </c>
      <c r="X78" s="19">
        <v>17494.75</v>
      </c>
      <c r="Y78" s="28">
        <v>120000</v>
      </c>
      <c r="Z78" s="28"/>
      <c r="AA78" s="28">
        <f t="shared" si="43"/>
        <v>120000</v>
      </c>
      <c r="AB78" s="19">
        <v>76888.89</v>
      </c>
      <c r="AC78" s="28">
        <v>11400</v>
      </c>
      <c r="AD78" s="28"/>
      <c r="AE78" s="28">
        <f t="shared" si="35"/>
        <v>11400</v>
      </c>
      <c r="AF78" s="120">
        <v>28412</v>
      </c>
      <c r="AG78" s="149">
        <v>300000</v>
      </c>
      <c r="AH78" s="145">
        <v>0</v>
      </c>
      <c r="AI78" s="150">
        <f t="shared" ref="AI78" si="47">AG78+AH78</f>
        <v>300000</v>
      </c>
      <c r="AJ78" s="120">
        <v>441942</v>
      </c>
      <c r="AK78" s="107">
        <v>0</v>
      </c>
      <c r="AL78" s="107">
        <v>0</v>
      </c>
      <c r="AM78" s="108">
        <f t="shared" si="33"/>
        <v>0</v>
      </c>
      <c r="AN78" s="114">
        <v>119718.71</v>
      </c>
      <c r="AO78" s="107"/>
      <c r="AP78" s="107"/>
      <c r="AQ78" s="108">
        <f t="shared" si="36"/>
        <v>0</v>
      </c>
      <c r="AR78" s="114"/>
      <c r="AS78" s="107">
        <f t="shared" si="37"/>
        <v>1403400</v>
      </c>
      <c r="AT78" s="107">
        <f t="shared" si="38"/>
        <v>0</v>
      </c>
      <c r="AU78" s="108">
        <f t="shared" si="39"/>
        <v>1403400</v>
      </c>
      <c r="AV78" s="108">
        <f t="shared" si="34"/>
        <v>1779842.66</v>
      </c>
      <c r="AW78" s="152">
        <v>1576091</v>
      </c>
      <c r="AX78" s="21"/>
    </row>
    <row r="79" spans="1:50" ht="15" hidden="1" customHeight="1" x14ac:dyDescent="0.25">
      <c r="A79" s="15">
        <v>657</v>
      </c>
      <c r="B79" s="16" t="s">
        <v>78</v>
      </c>
      <c r="C79" s="52">
        <v>65</v>
      </c>
      <c r="D79" s="23">
        <v>0</v>
      </c>
      <c r="E79" s="18">
        <v>0</v>
      </c>
      <c r="F79" s="18">
        <f t="shared" si="41"/>
        <v>0</v>
      </c>
      <c r="G79" s="19">
        <v>0</v>
      </c>
      <c r="H79" s="20">
        <f>G79-'[1]Náklady Výnosy 2008 €'!F75</f>
        <v>0</v>
      </c>
      <c r="I79" s="217">
        <v>0</v>
      </c>
      <c r="J79" s="85">
        <v>0</v>
      </c>
      <c r="K79" s="85">
        <f t="shared" si="31"/>
        <v>0</v>
      </c>
      <c r="L79" s="28">
        <v>0</v>
      </c>
      <c r="M79" s="223"/>
      <c r="N79" s="138"/>
      <c r="O79" s="138">
        <f t="shared" si="46"/>
        <v>0</v>
      </c>
      <c r="P79" s="140">
        <v>0</v>
      </c>
      <c r="Q79" s="236">
        <v>0</v>
      </c>
      <c r="R79" s="238">
        <v>0</v>
      </c>
      <c r="S79" s="239">
        <v>0</v>
      </c>
      <c r="T79" s="209"/>
      <c r="U79" s="28"/>
      <c r="V79" s="28">
        <v>0</v>
      </c>
      <c r="W79" s="28">
        <f t="shared" si="42"/>
        <v>0</v>
      </c>
      <c r="X79" s="19">
        <v>0</v>
      </c>
      <c r="Y79" s="28"/>
      <c r="Z79" s="28"/>
      <c r="AA79" s="28">
        <f t="shared" si="43"/>
        <v>0</v>
      </c>
      <c r="AB79" s="19">
        <v>0</v>
      </c>
      <c r="AC79" s="28"/>
      <c r="AD79" s="28"/>
      <c r="AE79" s="28">
        <f t="shared" si="35"/>
        <v>0</v>
      </c>
      <c r="AF79" s="120"/>
      <c r="AG79" s="28"/>
      <c r="AH79" s="28"/>
      <c r="AI79" s="28"/>
      <c r="AJ79" s="120"/>
      <c r="AK79" s="107">
        <v>0</v>
      </c>
      <c r="AL79" s="107">
        <v>0</v>
      </c>
      <c r="AM79" s="108">
        <f t="shared" si="33"/>
        <v>0</v>
      </c>
      <c r="AN79" s="114">
        <v>0</v>
      </c>
      <c r="AO79" s="107"/>
      <c r="AP79" s="107"/>
      <c r="AQ79" s="108">
        <f t="shared" si="36"/>
        <v>0</v>
      </c>
      <c r="AR79" s="114"/>
      <c r="AS79" s="107">
        <f t="shared" si="37"/>
        <v>0</v>
      </c>
      <c r="AT79" s="107">
        <f t="shared" si="38"/>
        <v>0</v>
      </c>
      <c r="AU79" s="108">
        <f t="shared" si="39"/>
        <v>0</v>
      </c>
      <c r="AV79" s="108">
        <f t="shared" si="34"/>
        <v>0</v>
      </c>
      <c r="AW79" s="152">
        <v>0</v>
      </c>
    </row>
    <row r="80" spans="1:50" ht="14.25" customHeight="1" x14ac:dyDescent="0.25">
      <c r="A80" s="15">
        <v>658</v>
      </c>
      <c r="B80" s="16" t="s">
        <v>79</v>
      </c>
      <c r="C80" s="52">
        <v>66</v>
      </c>
      <c r="D80" s="23">
        <v>0</v>
      </c>
      <c r="E80" s="18">
        <v>250000</v>
      </c>
      <c r="F80" s="18">
        <f t="shared" si="41"/>
        <v>250000</v>
      </c>
      <c r="G80" s="19">
        <v>244186.43</v>
      </c>
      <c r="H80" s="20">
        <f>G80-'[1]Náklady Výnosy 2008 €'!F76</f>
        <v>-1172264.4761939852</v>
      </c>
      <c r="I80" s="217">
        <v>0</v>
      </c>
      <c r="J80" s="85">
        <v>62000</v>
      </c>
      <c r="K80" s="85">
        <f t="shared" si="31"/>
        <v>62000</v>
      </c>
      <c r="L80" s="28">
        <v>59448.32</v>
      </c>
      <c r="M80" s="223"/>
      <c r="N80" s="157">
        <v>100000</v>
      </c>
      <c r="O80" s="124">
        <f t="shared" si="46"/>
        <v>100000</v>
      </c>
      <c r="P80" s="140">
        <v>157708.79999999999</v>
      </c>
      <c r="Q80" s="236">
        <v>25000</v>
      </c>
      <c r="R80" s="238">
        <v>200000</v>
      </c>
      <c r="S80" s="239">
        <v>225000</v>
      </c>
      <c r="T80" s="209">
        <v>165841</v>
      </c>
      <c r="U80" s="28">
        <v>15000</v>
      </c>
      <c r="V80" s="28">
        <v>0</v>
      </c>
      <c r="W80" s="28">
        <f t="shared" si="42"/>
        <v>15000</v>
      </c>
      <c r="X80" s="19">
        <v>13227.41</v>
      </c>
      <c r="Y80" s="28"/>
      <c r="Z80" s="28">
        <v>17000</v>
      </c>
      <c r="AA80" s="28">
        <f t="shared" si="43"/>
        <v>17000</v>
      </c>
      <c r="AB80" s="19">
        <v>17065.12</v>
      </c>
      <c r="AC80" s="28"/>
      <c r="AD80" s="28">
        <v>83208</v>
      </c>
      <c r="AE80" s="28">
        <f t="shared" si="35"/>
        <v>83208</v>
      </c>
      <c r="AF80" s="120">
        <v>54675</v>
      </c>
      <c r="AG80" s="149">
        <v>2000</v>
      </c>
      <c r="AH80" s="145">
        <f>172187+105000</f>
        <v>277187</v>
      </c>
      <c r="AI80" s="150">
        <f t="shared" ref="AI80" si="48">AG80+AH80</f>
        <v>279187</v>
      </c>
      <c r="AJ80" s="120">
        <v>372984</v>
      </c>
      <c r="AK80" s="107">
        <v>0</v>
      </c>
      <c r="AL80" s="107">
        <v>200000</v>
      </c>
      <c r="AM80" s="108">
        <f t="shared" si="33"/>
        <v>200000</v>
      </c>
      <c r="AN80" s="114">
        <v>199903.54</v>
      </c>
      <c r="AO80" s="107"/>
      <c r="AP80" s="107">
        <v>7500</v>
      </c>
      <c r="AQ80" s="108">
        <f t="shared" si="36"/>
        <v>7500</v>
      </c>
      <c r="AR80" s="114">
        <v>7497</v>
      </c>
      <c r="AS80" s="107">
        <f t="shared" si="37"/>
        <v>42000</v>
      </c>
      <c r="AT80" s="107">
        <f t="shared" si="38"/>
        <v>1196895</v>
      </c>
      <c r="AU80" s="108">
        <f t="shared" si="39"/>
        <v>1238895</v>
      </c>
      <c r="AV80" s="108">
        <f t="shared" si="34"/>
        <v>1292536.6200000001</v>
      </c>
      <c r="AW80" s="152">
        <v>1723257</v>
      </c>
      <c r="AX80" s="21"/>
    </row>
    <row r="81" spans="1:63" ht="1.5" hidden="1" customHeight="1" x14ac:dyDescent="0.25">
      <c r="A81" s="15">
        <v>661</v>
      </c>
      <c r="B81" s="16" t="s">
        <v>80</v>
      </c>
      <c r="C81" s="52">
        <v>67</v>
      </c>
      <c r="D81" s="23">
        <v>0</v>
      </c>
      <c r="E81" s="18">
        <v>0</v>
      </c>
      <c r="F81" s="18">
        <f t="shared" si="41"/>
        <v>0</v>
      </c>
      <c r="G81" s="19">
        <v>0</v>
      </c>
      <c r="H81" s="20">
        <f>G81-'[1]Náklady Výnosy 2008 €'!F77</f>
        <v>0</v>
      </c>
      <c r="I81" s="217">
        <v>0</v>
      </c>
      <c r="J81" s="85">
        <v>0</v>
      </c>
      <c r="K81" s="85">
        <f t="shared" si="31"/>
        <v>0</v>
      </c>
      <c r="L81" s="28">
        <v>0</v>
      </c>
      <c r="M81" s="223"/>
      <c r="N81" s="138"/>
      <c r="O81" s="138">
        <f t="shared" si="40"/>
        <v>0</v>
      </c>
      <c r="P81" s="156"/>
      <c r="Q81" s="236">
        <v>0</v>
      </c>
      <c r="R81" s="238">
        <v>0</v>
      </c>
      <c r="S81" s="239">
        <v>0</v>
      </c>
      <c r="T81" s="209"/>
      <c r="U81" s="28"/>
      <c r="V81" s="28">
        <v>0</v>
      </c>
      <c r="W81" s="28">
        <f t="shared" si="42"/>
        <v>0</v>
      </c>
      <c r="X81" s="19">
        <v>0</v>
      </c>
      <c r="Y81" s="28"/>
      <c r="Z81" s="28"/>
      <c r="AA81" s="28">
        <f t="shared" si="43"/>
        <v>0</v>
      </c>
      <c r="AB81" s="19">
        <v>0</v>
      </c>
      <c r="AC81" s="28"/>
      <c r="AD81" s="28"/>
      <c r="AE81" s="28">
        <f t="shared" si="35"/>
        <v>0</v>
      </c>
      <c r="AF81" s="120"/>
      <c r="AG81" s="28"/>
      <c r="AH81" s="28"/>
      <c r="AI81" s="28"/>
      <c r="AJ81" s="120"/>
      <c r="AK81" s="107"/>
      <c r="AL81" s="107"/>
      <c r="AM81" s="108">
        <f t="shared" si="33"/>
        <v>0</v>
      </c>
      <c r="AN81" s="114">
        <v>0</v>
      </c>
      <c r="AO81" s="107"/>
      <c r="AP81" s="107"/>
      <c r="AQ81" s="108">
        <f t="shared" si="36"/>
        <v>0</v>
      </c>
      <c r="AR81" s="114"/>
      <c r="AS81" s="107">
        <f t="shared" si="37"/>
        <v>0</v>
      </c>
      <c r="AT81" s="107">
        <f t="shared" si="38"/>
        <v>0</v>
      </c>
      <c r="AU81" s="108">
        <f t="shared" si="39"/>
        <v>0</v>
      </c>
      <c r="AV81" s="108">
        <f t="shared" si="34"/>
        <v>0</v>
      </c>
      <c r="AW81" s="152">
        <v>0</v>
      </c>
    </row>
    <row r="82" spans="1:63" ht="15" customHeight="1" x14ac:dyDescent="0.25">
      <c r="A82" s="15">
        <v>662</v>
      </c>
      <c r="B82" s="16" t="s">
        <v>81</v>
      </c>
      <c r="C82" s="52">
        <v>68</v>
      </c>
      <c r="D82" s="23">
        <v>0</v>
      </c>
      <c r="E82" s="18">
        <v>0</v>
      </c>
      <c r="F82" s="18">
        <f t="shared" si="41"/>
        <v>0</v>
      </c>
      <c r="G82" s="19">
        <v>0</v>
      </c>
      <c r="H82" s="20">
        <f>G82-'[1]Náklady Výnosy 2008 €'!F78</f>
        <v>-96594.303923521205</v>
      </c>
      <c r="I82" s="217">
        <v>67250</v>
      </c>
      <c r="J82" s="85">
        <v>0</v>
      </c>
      <c r="K82" s="85">
        <f t="shared" si="31"/>
        <v>67250</v>
      </c>
      <c r="L82" s="28">
        <v>67249.990000000005</v>
      </c>
      <c r="M82" s="223"/>
      <c r="N82" s="138"/>
      <c r="O82" s="138">
        <f t="shared" si="40"/>
        <v>0</v>
      </c>
      <c r="P82" s="156">
        <v>0</v>
      </c>
      <c r="Q82" s="236">
        <v>10000</v>
      </c>
      <c r="R82" s="238">
        <v>0</v>
      </c>
      <c r="S82" s="239">
        <f>Q82+R82</f>
        <v>10000</v>
      </c>
      <c r="T82" s="209"/>
      <c r="U82" s="28"/>
      <c r="V82" s="28">
        <v>0</v>
      </c>
      <c r="W82" s="28">
        <f t="shared" si="42"/>
        <v>0</v>
      </c>
      <c r="X82" s="19">
        <v>0</v>
      </c>
      <c r="Y82" s="28"/>
      <c r="Z82" s="28"/>
      <c r="AA82" s="28">
        <f t="shared" si="43"/>
        <v>0</v>
      </c>
      <c r="AB82" s="19">
        <v>0</v>
      </c>
      <c r="AC82" s="28">
        <v>12679</v>
      </c>
      <c r="AD82" s="28"/>
      <c r="AE82" s="28">
        <f t="shared" si="35"/>
        <v>12679</v>
      </c>
      <c r="AF82" s="120"/>
      <c r="AG82" s="28">
        <v>0</v>
      </c>
      <c r="AH82" s="28"/>
      <c r="AI82" s="28"/>
      <c r="AJ82" s="120"/>
      <c r="AK82" s="107">
        <v>0</v>
      </c>
      <c r="AL82" s="107">
        <v>0</v>
      </c>
      <c r="AM82" s="108">
        <f t="shared" si="33"/>
        <v>0</v>
      </c>
      <c r="AN82" s="114">
        <v>0</v>
      </c>
      <c r="AO82" s="107"/>
      <c r="AP82" s="107"/>
      <c r="AQ82" s="108">
        <f t="shared" si="36"/>
        <v>0</v>
      </c>
      <c r="AR82" s="114"/>
      <c r="AS82" s="107">
        <f t="shared" si="37"/>
        <v>89929</v>
      </c>
      <c r="AT82" s="107">
        <f t="shared" si="38"/>
        <v>0</v>
      </c>
      <c r="AU82" s="108">
        <f t="shared" si="39"/>
        <v>89929</v>
      </c>
      <c r="AV82" s="108">
        <f t="shared" si="34"/>
        <v>67249.990000000005</v>
      </c>
      <c r="AW82" s="152">
        <v>60000</v>
      </c>
    </row>
    <row r="83" spans="1:63" ht="0.75" customHeight="1" x14ac:dyDescent="0.25">
      <c r="A83" s="15">
        <v>663</v>
      </c>
      <c r="B83" s="16" t="s">
        <v>82</v>
      </c>
      <c r="C83" s="52">
        <v>69</v>
      </c>
      <c r="D83" s="23">
        <v>0</v>
      </c>
      <c r="E83" s="18">
        <v>0</v>
      </c>
      <c r="F83" s="18">
        <f t="shared" si="41"/>
        <v>0</v>
      </c>
      <c r="G83" s="19">
        <v>0</v>
      </c>
      <c r="H83" s="20">
        <f>G83-'[1]Náklady Výnosy 2008 €'!F79</f>
        <v>0</v>
      </c>
      <c r="I83" s="217">
        <v>0</v>
      </c>
      <c r="J83" s="85">
        <v>0</v>
      </c>
      <c r="K83" s="85">
        <f t="shared" si="31"/>
        <v>0</v>
      </c>
      <c r="L83" s="28">
        <v>0</v>
      </c>
      <c r="M83" s="223"/>
      <c r="N83" s="138"/>
      <c r="O83" s="138">
        <f t="shared" si="40"/>
        <v>0</v>
      </c>
      <c r="P83" s="156">
        <v>0</v>
      </c>
      <c r="Q83" s="236">
        <v>0</v>
      </c>
      <c r="R83" s="238">
        <v>0</v>
      </c>
      <c r="S83" s="239">
        <v>0</v>
      </c>
      <c r="T83" s="209"/>
      <c r="U83" s="28"/>
      <c r="V83" s="28">
        <v>0</v>
      </c>
      <c r="W83" s="28">
        <f t="shared" si="42"/>
        <v>0</v>
      </c>
      <c r="X83" s="19">
        <v>0</v>
      </c>
      <c r="Y83" s="28"/>
      <c r="Z83" s="28"/>
      <c r="AA83" s="28">
        <f t="shared" si="43"/>
        <v>0</v>
      </c>
      <c r="AB83" s="19">
        <v>0</v>
      </c>
      <c r="AC83" s="28"/>
      <c r="AD83" s="28"/>
      <c r="AE83" s="28">
        <f t="shared" si="35"/>
        <v>0</v>
      </c>
      <c r="AF83" s="120"/>
      <c r="AG83" s="28"/>
      <c r="AH83" s="28"/>
      <c r="AI83" s="28"/>
      <c r="AJ83" s="120"/>
      <c r="AK83" s="107">
        <v>0</v>
      </c>
      <c r="AL83" s="107">
        <v>0</v>
      </c>
      <c r="AM83" s="108">
        <f t="shared" si="33"/>
        <v>0</v>
      </c>
      <c r="AN83" s="114">
        <v>0</v>
      </c>
      <c r="AO83" s="107"/>
      <c r="AP83" s="107"/>
      <c r="AQ83" s="108">
        <f t="shared" si="36"/>
        <v>0</v>
      </c>
      <c r="AR83" s="114"/>
      <c r="AS83" s="107">
        <f t="shared" si="37"/>
        <v>0</v>
      </c>
      <c r="AT83" s="107">
        <f t="shared" si="38"/>
        <v>0</v>
      </c>
      <c r="AU83" s="108">
        <f t="shared" si="39"/>
        <v>0</v>
      </c>
      <c r="AV83" s="108">
        <f t="shared" si="34"/>
        <v>0</v>
      </c>
      <c r="AW83" s="152">
        <v>0</v>
      </c>
    </row>
    <row r="84" spans="1:63" ht="15" hidden="1" customHeight="1" x14ac:dyDescent="0.25">
      <c r="A84" s="15">
        <v>664</v>
      </c>
      <c r="B84" s="16" t="s">
        <v>83</v>
      </c>
      <c r="C84" s="52">
        <v>70</v>
      </c>
      <c r="D84" s="23">
        <v>0</v>
      </c>
      <c r="E84" s="18">
        <v>0</v>
      </c>
      <c r="F84" s="18">
        <f t="shared" si="41"/>
        <v>0</v>
      </c>
      <c r="G84" s="19">
        <v>0</v>
      </c>
      <c r="H84" s="20">
        <f>G84-'[1]Náklady Výnosy 2008 €'!F80</f>
        <v>0</v>
      </c>
      <c r="I84" s="217">
        <v>0</v>
      </c>
      <c r="J84" s="85">
        <v>0</v>
      </c>
      <c r="K84" s="85">
        <f t="shared" si="31"/>
        <v>0</v>
      </c>
      <c r="L84" s="28">
        <v>0</v>
      </c>
      <c r="M84" s="223"/>
      <c r="N84" s="138"/>
      <c r="O84" s="138">
        <f t="shared" si="40"/>
        <v>0</v>
      </c>
      <c r="P84" s="156">
        <v>0</v>
      </c>
      <c r="Q84" s="236">
        <v>0</v>
      </c>
      <c r="R84" s="238">
        <v>0</v>
      </c>
      <c r="S84" s="239">
        <v>0</v>
      </c>
      <c r="T84" s="209"/>
      <c r="U84" s="28"/>
      <c r="V84" s="28">
        <v>0</v>
      </c>
      <c r="W84" s="28">
        <f t="shared" si="42"/>
        <v>0</v>
      </c>
      <c r="X84" s="19">
        <v>0</v>
      </c>
      <c r="Y84" s="28"/>
      <c r="Z84" s="28"/>
      <c r="AA84" s="28">
        <f t="shared" si="43"/>
        <v>0</v>
      </c>
      <c r="AB84" s="19">
        <v>0</v>
      </c>
      <c r="AC84" s="28"/>
      <c r="AD84" s="28"/>
      <c r="AE84" s="28">
        <f t="shared" si="35"/>
        <v>0</v>
      </c>
      <c r="AF84" s="120"/>
      <c r="AG84" s="28"/>
      <c r="AH84" s="28"/>
      <c r="AI84" s="28"/>
      <c r="AJ84" s="120"/>
      <c r="AK84" s="107">
        <v>0</v>
      </c>
      <c r="AL84" s="107">
        <v>0</v>
      </c>
      <c r="AM84" s="108">
        <f t="shared" si="33"/>
        <v>0</v>
      </c>
      <c r="AN84" s="114">
        <v>0</v>
      </c>
      <c r="AO84" s="107"/>
      <c r="AP84" s="107"/>
      <c r="AQ84" s="108">
        <f t="shared" si="36"/>
        <v>0</v>
      </c>
      <c r="AR84" s="114"/>
      <c r="AS84" s="107">
        <f t="shared" si="37"/>
        <v>0</v>
      </c>
      <c r="AT84" s="107">
        <f t="shared" si="38"/>
        <v>0</v>
      </c>
      <c r="AU84" s="108">
        <f t="shared" si="39"/>
        <v>0</v>
      </c>
      <c r="AV84" s="108">
        <f t="shared" si="34"/>
        <v>0</v>
      </c>
      <c r="AW84" s="152">
        <v>0</v>
      </c>
    </row>
    <row r="85" spans="1:63" ht="15" hidden="1" customHeight="1" x14ac:dyDescent="0.25">
      <c r="A85" s="15">
        <v>665</v>
      </c>
      <c r="B85" s="16" t="s">
        <v>84</v>
      </c>
      <c r="C85" s="52">
        <v>71</v>
      </c>
      <c r="D85" s="23">
        <v>0</v>
      </c>
      <c r="E85" s="18">
        <v>0</v>
      </c>
      <c r="F85" s="18">
        <f t="shared" si="41"/>
        <v>0</v>
      </c>
      <c r="G85" s="19">
        <v>1832.99</v>
      </c>
      <c r="H85" s="20">
        <f>G85-'[1]Náklady Výnosy 2008 €'!F81</f>
        <v>1832.99</v>
      </c>
      <c r="I85" s="217">
        <v>0</v>
      </c>
      <c r="J85" s="85">
        <v>0</v>
      </c>
      <c r="K85" s="85">
        <f t="shared" si="31"/>
        <v>0</v>
      </c>
      <c r="L85" s="28">
        <v>0</v>
      </c>
      <c r="M85" s="223"/>
      <c r="N85" s="138"/>
      <c r="O85" s="138">
        <f t="shared" si="40"/>
        <v>0</v>
      </c>
      <c r="P85" s="156">
        <v>0</v>
      </c>
      <c r="Q85" s="236">
        <v>0</v>
      </c>
      <c r="R85" s="238">
        <v>0</v>
      </c>
      <c r="S85" s="239">
        <v>0</v>
      </c>
      <c r="T85" s="209"/>
      <c r="U85" s="28"/>
      <c r="V85" s="28">
        <v>0</v>
      </c>
      <c r="W85" s="28">
        <f t="shared" si="42"/>
        <v>0</v>
      </c>
      <c r="X85" s="19">
        <v>0</v>
      </c>
      <c r="Y85" s="28"/>
      <c r="Z85" s="28"/>
      <c r="AA85" s="28">
        <f t="shared" si="43"/>
        <v>0</v>
      </c>
      <c r="AB85" s="19">
        <v>0</v>
      </c>
      <c r="AC85" s="28"/>
      <c r="AD85" s="28"/>
      <c r="AE85" s="28">
        <f t="shared" si="35"/>
        <v>0</v>
      </c>
      <c r="AF85" s="120"/>
      <c r="AG85" s="28"/>
      <c r="AH85" s="28"/>
      <c r="AI85" s="28"/>
      <c r="AJ85" s="120"/>
      <c r="AK85" s="107">
        <v>0</v>
      </c>
      <c r="AL85" s="107">
        <v>0</v>
      </c>
      <c r="AM85" s="108">
        <f t="shared" si="33"/>
        <v>0</v>
      </c>
      <c r="AN85" s="114">
        <v>0</v>
      </c>
      <c r="AO85" s="107"/>
      <c r="AP85" s="107"/>
      <c r="AQ85" s="108">
        <f t="shared" si="36"/>
        <v>0</v>
      </c>
      <c r="AR85" s="114"/>
      <c r="AS85" s="107">
        <f t="shared" si="37"/>
        <v>0</v>
      </c>
      <c r="AT85" s="107">
        <f t="shared" si="38"/>
        <v>0</v>
      </c>
      <c r="AU85" s="108">
        <f t="shared" si="39"/>
        <v>0</v>
      </c>
      <c r="AV85" s="108">
        <f t="shared" si="34"/>
        <v>1832.99</v>
      </c>
      <c r="AW85" s="152">
        <v>0</v>
      </c>
    </row>
    <row r="86" spans="1:63" ht="15" hidden="1" customHeight="1" x14ac:dyDescent="0.25">
      <c r="A86" s="15">
        <v>667</v>
      </c>
      <c r="B86" s="16" t="s">
        <v>85</v>
      </c>
      <c r="C86" s="52">
        <v>72</v>
      </c>
      <c r="D86" s="23">
        <v>0</v>
      </c>
      <c r="E86" s="18">
        <v>0</v>
      </c>
      <c r="F86" s="18">
        <f t="shared" si="41"/>
        <v>0</v>
      </c>
      <c r="G86" s="19">
        <v>0</v>
      </c>
      <c r="H86" s="20">
        <f>G86-'[1]Náklady Výnosy 2008 €'!F82</f>
        <v>0</v>
      </c>
      <c r="I86" s="217">
        <v>0</v>
      </c>
      <c r="J86" s="85">
        <v>0</v>
      </c>
      <c r="K86" s="85">
        <f t="shared" si="31"/>
        <v>0</v>
      </c>
      <c r="L86" s="28">
        <v>0</v>
      </c>
      <c r="M86" s="223"/>
      <c r="N86" s="138"/>
      <c r="O86" s="138">
        <f t="shared" si="40"/>
        <v>0</v>
      </c>
      <c r="P86" s="156">
        <v>0</v>
      </c>
      <c r="Q86" s="236">
        <v>0</v>
      </c>
      <c r="R86" s="238">
        <v>0</v>
      </c>
      <c r="S86" s="239">
        <v>0</v>
      </c>
      <c r="T86" s="209"/>
      <c r="U86" s="28"/>
      <c r="V86" s="28">
        <v>0</v>
      </c>
      <c r="W86" s="28">
        <f t="shared" si="42"/>
        <v>0</v>
      </c>
      <c r="X86" s="19">
        <v>0</v>
      </c>
      <c r="Y86" s="28"/>
      <c r="Z86" s="28"/>
      <c r="AA86" s="28">
        <f t="shared" si="43"/>
        <v>0</v>
      </c>
      <c r="AB86" s="19">
        <v>0</v>
      </c>
      <c r="AC86" s="28"/>
      <c r="AD86" s="28"/>
      <c r="AE86" s="28">
        <f t="shared" si="35"/>
        <v>0</v>
      </c>
      <c r="AF86" s="120"/>
      <c r="AG86" s="28"/>
      <c r="AH86" s="28"/>
      <c r="AI86" s="28"/>
      <c r="AJ86" s="120"/>
      <c r="AK86" s="107">
        <v>0</v>
      </c>
      <c r="AL86" s="107">
        <v>0</v>
      </c>
      <c r="AM86" s="108">
        <f t="shared" si="33"/>
        <v>0</v>
      </c>
      <c r="AN86" s="114">
        <v>0</v>
      </c>
      <c r="AO86" s="107"/>
      <c r="AP86" s="107"/>
      <c r="AQ86" s="108">
        <f t="shared" si="36"/>
        <v>0</v>
      </c>
      <c r="AR86" s="114"/>
      <c r="AS86" s="107">
        <f t="shared" si="37"/>
        <v>0</v>
      </c>
      <c r="AT86" s="107">
        <f t="shared" si="38"/>
        <v>0</v>
      </c>
      <c r="AU86" s="108">
        <f t="shared" si="39"/>
        <v>0</v>
      </c>
      <c r="AV86" s="108">
        <f t="shared" si="34"/>
        <v>0</v>
      </c>
      <c r="AW86" s="152">
        <v>0</v>
      </c>
    </row>
    <row r="87" spans="1:63" ht="15" customHeight="1" thickBot="1" x14ac:dyDescent="0.3">
      <c r="A87" s="15">
        <v>691</v>
      </c>
      <c r="B87" s="16" t="s">
        <v>86</v>
      </c>
      <c r="C87" s="52">
        <v>73</v>
      </c>
      <c r="D87" s="23">
        <v>12042438</v>
      </c>
      <c r="E87" s="18">
        <v>0</v>
      </c>
      <c r="F87" s="18">
        <f t="shared" si="41"/>
        <v>12042438</v>
      </c>
      <c r="G87" s="131">
        <v>12144159.960000001</v>
      </c>
      <c r="H87" s="20">
        <f>G87-'[1]Náklady Výnosy 2008 €'!F83</f>
        <v>-53588496.217388302</v>
      </c>
      <c r="I87" s="220">
        <v>5459905</v>
      </c>
      <c r="J87" s="132">
        <v>0</v>
      </c>
      <c r="K87" s="132">
        <f t="shared" si="31"/>
        <v>5459905</v>
      </c>
      <c r="L87" s="133">
        <v>5746914.46</v>
      </c>
      <c r="M87" s="223">
        <v>8867318</v>
      </c>
      <c r="N87" s="138"/>
      <c r="O87" s="138">
        <f>SUM(M87:N87)</f>
        <v>8867318</v>
      </c>
      <c r="P87" s="156">
        <v>12106207.51</v>
      </c>
      <c r="Q87" s="236">
        <v>14790915.279999999</v>
      </c>
      <c r="R87" s="238">
        <v>0</v>
      </c>
      <c r="S87" s="239">
        <v>14790915.279999999</v>
      </c>
      <c r="T87" s="209">
        <v>14658431</v>
      </c>
      <c r="U87" s="28">
        <v>4660721</v>
      </c>
      <c r="V87" s="28">
        <v>0</v>
      </c>
      <c r="W87" s="28">
        <f t="shared" si="42"/>
        <v>4660721</v>
      </c>
      <c r="X87" s="19">
        <v>4569089.91</v>
      </c>
      <c r="Y87" s="28">
        <v>11735184</v>
      </c>
      <c r="Z87" s="28"/>
      <c r="AA87" s="28">
        <f t="shared" si="43"/>
        <v>11735184</v>
      </c>
      <c r="AB87" s="19">
        <v>10948908.300000001</v>
      </c>
      <c r="AC87" s="28">
        <v>2539802</v>
      </c>
      <c r="AD87" s="28"/>
      <c r="AE87" s="28">
        <f t="shared" si="35"/>
        <v>2539802</v>
      </c>
      <c r="AF87" s="120">
        <v>3415742</v>
      </c>
      <c r="AG87" s="149">
        <v>11626862</v>
      </c>
      <c r="AH87" s="145"/>
      <c r="AI87" s="150">
        <f t="shared" ref="AI87" si="49">AG87+AH87</f>
        <v>11626862</v>
      </c>
      <c r="AJ87" s="120">
        <v>11200683</v>
      </c>
      <c r="AK87" s="107">
        <v>3484540.74</v>
      </c>
      <c r="AL87" s="107">
        <v>0</v>
      </c>
      <c r="AM87" s="108">
        <f>SUM(AK87:AL87)</f>
        <v>3484540.74</v>
      </c>
      <c r="AN87" s="114">
        <v>2163052.7799999998</v>
      </c>
      <c r="AO87" s="107">
        <v>118200</v>
      </c>
      <c r="AP87" s="107"/>
      <c r="AQ87" s="108">
        <f t="shared" si="36"/>
        <v>118200</v>
      </c>
      <c r="AR87" s="114">
        <v>118479</v>
      </c>
      <c r="AS87" s="107">
        <f t="shared" si="37"/>
        <v>75325886.019999996</v>
      </c>
      <c r="AT87" s="107">
        <v>0</v>
      </c>
      <c r="AU87" s="108">
        <f t="shared" si="39"/>
        <v>75325886.019999996</v>
      </c>
      <c r="AV87" s="108">
        <f t="shared" si="34"/>
        <v>77071667.920000002</v>
      </c>
      <c r="AW87" s="153">
        <v>72019684</v>
      </c>
      <c r="AX87" s="21"/>
      <c r="BB87" s="21"/>
    </row>
    <row r="88" spans="1:63" ht="21.6" customHeight="1" x14ac:dyDescent="0.25">
      <c r="A88" s="262" t="s">
        <v>87</v>
      </c>
      <c r="B88" s="262"/>
      <c r="C88" s="30">
        <v>74</v>
      </c>
      <c r="D88" s="31">
        <f>SUM(D53:D87)</f>
        <v>13013178</v>
      </c>
      <c r="E88" s="31">
        <f>SUM(E53:E87)</f>
        <v>1091100</v>
      </c>
      <c r="F88" s="31">
        <f>SUM(F53:F87)</f>
        <v>14104278</v>
      </c>
      <c r="G88" s="128">
        <f>SUM(G53:G87)</f>
        <v>14476880.960000001</v>
      </c>
      <c r="H88" s="134">
        <f>G88-'[1]Náklady Výnosy 2008 €'!F84</f>
        <v>-72971867.629258454</v>
      </c>
      <c r="I88" s="218">
        <f t="shared" ref="I88:L88" si="50">SUM(I53:I87)</f>
        <v>6534155</v>
      </c>
      <c r="J88" s="129">
        <f t="shared" si="50"/>
        <v>302930</v>
      </c>
      <c r="K88" s="129">
        <f t="shared" si="50"/>
        <v>6837085</v>
      </c>
      <c r="L88" s="130">
        <f t="shared" si="50"/>
        <v>7467827.0899999999</v>
      </c>
      <c r="M88" s="227">
        <f>SUM(M53:M87)</f>
        <v>10452318</v>
      </c>
      <c r="N88" s="174">
        <f>SUM(N53:N87)</f>
        <v>655000</v>
      </c>
      <c r="O88" s="174">
        <f>SUM(O53:O87)</f>
        <v>11107318</v>
      </c>
      <c r="P88" s="175">
        <f>SUM(P52:P87)</f>
        <v>14886547.879999999</v>
      </c>
      <c r="Q88" s="240">
        <f>Q53+Q54+Q72+Q78+Q80+Q82+Q87</f>
        <v>16417915.279999999</v>
      </c>
      <c r="R88" s="241">
        <f>R53+R54+R55+R72+R80</f>
        <v>481000</v>
      </c>
      <c r="S88" s="173">
        <f>Q88+R88</f>
        <v>16898915.280000001</v>
      </c>
      <c r="T88" s="173">
        <f>T53+T54+T67+T72+T78+T80+T87</f>
        <v>16679637</v>
      </c>
      <c r="U88" s="31">
        <f>U53+U54+U67+U72+U78+U80+U87</f>
        <v>4945741</v>
      </c>
      <c r="V88" s="31">
        <f t="shared" ref="V88:AB88" si="51">SUM(V53:V87)</f>
        <v>28010</v>
      </c>
      <c r="W88" s="31">
        <f t="shared" si="51"/>
        <v>4973751</v>
      </c>
      <c r="X88" s="182">
        <f t="shared" si="51"/>
        <v>4873252.74</v>
      </c>
      <c r="Y88" s="183">
        <f t="shared" si="51"/>
        <v>14164784</v>
      </c>
      <c r="Z88" s="183">
        <f t="shared" si="51"/>
        <v>367000</v>
      </c>
      <c r="AA88" s="183">
        <f t="shared" si="51"/>
        <v>14531784</v>
      </c>
      <c r="AB88" s="182">
        <f t="shared" si="51"/>
        <v>13860573.690000001</v>
      </c>
      <c r="AC88" s="183">
        <f>AC72+AC78+AC81+AC82+AC87</f>
        <v>2704658</v>
      </c>
      <c r="AD88" s="183">
        <f>AD54+AD80</f>
        <v>91208</v>
      </c>
      <c r="AE88" s="184">
        <f t="shared" si="35"/>
        <v>2795866</v>
      </c>
      <c r="AF88" s="185">
        <f>AF53+AF54+AF64+AF67+AF72+AF78+AF80+AF87</f>
        <v>3697487</v>
      </c>
      <c r="AG88" s="183">
        <f>AG54+AG67+AG72+AG78+AG80+AG87</f>
        <v>12333162</v>
      </c>
      <c r="AH88" s="183">
        <f>AH53+AH54+AH67+AH72+AH80</f>
        <v>1671187</v>
      </c>
      <c r="AI88" s="183">
        <f>AI53+AI54+AI67+AI72+AI78+AI80+AI87</f>
        <v>14004349</v>
      </c>
      <c r="AJ88" s="185">
        <f>AJ53+AJ54+AJ67+AJ72+AJ78+AJ80+AJ87</f>
        <v>14493423.629999999</v>
      </c>
      <c r="AK88" s="186">
        <f>SUM(AK53:AK87)</f>
        <v>7605093.7400000002</v>
      </c>
      <c r="AL88" s="186">
        <f>SUM(AL53:AL87)</f>
        <v>1203160</v>
      </c>
      <c r="AM88" s="187">
        <f>SUM(AM53:AM87)</f>
        <v>8808253.7400000002</v>
      </c>
      <c r="AN88" s="188">
        <f>SUM(AN53:AN87)</f>
        <v>7459109.3899999987</v>
      </c>
      <c r="AO88" s="186">
        <f>AO87</f>
        <v>118200</v>
      </c>
      <c r="AP88" s="186">
        <f>AP53+AP54+AP67+AP72+AP80</f>
        <v>654103</v>
      </c>
      <c r="AQ88" s="189">
        <f t="shared" si="36"/>
        <v>772303</v>
      </c>
      <c r="AR88" s="188">
        <f>AR53+AR54+AR67+AR72+AR81</f>
        <v>330308</v>
      </c>
      <c r="AS88" s="190">
        <f>AS53+AS54+AS55+AS67+AS72+AS78+AS80+AS82+AS87</f>
        <v>88289205.019999996</v>
      </c>
      <c r="AT88" s="190">
        <f>AT53+AT54+AT55+AT67+AT72+AT80</f>
        <v>6544698</v>
      </c>
      <c r="AU88" s="189">
        <f t="shared" si="39"/>
        <v>94833903.019999996</v>
      </c>
      <c r="AV88" s="208">
        <f>AV53+AV54+AV55+AV67+AV69+AV72+AV78+AV80+AV82+AV87</f>
        <v>98200576.180000007</v>
      </c>
      <c r="AW88" s="191">
        <v>93996645</v>
      </c>
    </row>
    <row r="89" spans="1:63" ht="24.6" customHeight="1" x14ac:dyDescent="0.25">
      <c r="A89" s="263" t="s">
        <v>88</v>
      </c>
      <c r="B89" s="263"/>
      <c r="C89" s="158">
        <v>75</v>
      </c>
      <c r="D89" s="159">
        <f>D88-D44</f>
        <v>-88592</v>
      </c>
      <c r="E89" s="159">
        <f>E88-E44</f>
        <v>235740</v>
      </c>
      <c r="F89" s="159">
        <f>F88-F44</f>
        <v>147148</v>
      </c>
      <c r="G89" s="160">
        <f>SUM(G88-G44)</f>
        <v>64738.590000001714</v>
      </c>
      <c r="H89" s="161">
        <f>G89-'[1]Náklady Výnosy 2008 €'!F86</f>
        <v>-3531922.1017612536</v>
      </c>
      <c r="I89" s="221">
        <f>I88-I44</f>
        <v>560</v>
      </c>
      <c r="J89" s="162">
        <f t="shared" ref="J89:L89" si="52">J88-J44</f>
        <v>90103</v>
      </c>
      <c r="K89" s="162">
        <f t="shared" si="52"/>
        <v>90663</v>
      </c>
      <c r="L89" s="162">
        <f t="shared" si="52"/>
        <v>74473.290000000969</v>
      </c>
      <c r="M89" s="228">
        <f>M88-M45</f>
        <v>266</v>
      </c>
      <c r="N89" s="163">
        <f>N88-N45</f>
        <v>263100</v>
      </c>
      <c r="O89" s="163">
        <f>O88-O46</f>
        <v>263366</v>
      </c>
      <c r="P89" s="164">
        <f>P88-P45</f>
        <v>68099.999999996275</v>
      </c>
      <c r="Q89" s="165">
        <f t="shared" ref="Q89:R89" si="53">Q88-Q44</f>
        <v>232968.45999999903</v>
      </c>
      <c r="R89" s="165">
        <f t="shared" si="53"/>
        <v>375.8300000000163</v>
      </c>
      <c r="S89" s="165">
        <f>S88-S44</f>
        <v>233344.29000000097</v>
      </c>
      <c r="T89" s="165">
        <f>T88-T44</f>
        <v>382440</v>
      </c>
      <c r="U89" s="166">
        <f>U88-U44</f>
        <v>51491</v>
      </c>
      <c r="V89" s="166">
        <f t="shared" ref="V89:X89" si="54">V88-V44</f>
        <v>1696</v>
      </c>
      <c r="W89" s="166">
        <f t="shared" si="54"/>
        <v>53187</v>
      </c>
      <c r="X89" s="166">
        <f t="shared" si="54"/>
        <v>63381.599999999627</v>
      </c>
      <c r="Y89" s="167">
        <f>Y88-Y44</f>
        <v>0</v>
      </c>
      <c r="Z89" s="167">
        <f t="shared" ref="Z89:AB89" si="55">Z88-Z44</f>
        <v>115466.01999999999</v>
      </c>
      <c r="AA89" s="167">
        <f t="shared" si="55"/>
        <v>115466.01999999955</v>
      </c>
      <c r="AB89" s="167">
        <f t="shared" si="55"/>
        <v>318461.08000000007</v>
      </c>
      <c r="AC89" s="166">
        <f>AC88-AC44</f>
        <v>-45469</v>
      </c>
      <c r="AD89" s="166">
        <f t="shared" ref="AD89:AF89" si="56">AD88-AD44</f>
        <v>63962</v>
      </c>
      <c r="AE89" s="166">
        <f t="shared" si="56"/>
        <v>18493</v>
      </c>
      <c r="AF89" s="166">
        <f t="shared" si="56"/>
        <v>14402.91999999946</v>
      </c>
      <c r="AG89" s="166">
        <f>AG88-AG44</f>
        <v>-1009155</v>
      </c>
      <c r="AH89" s="166">
        <f>AH88-AH44</f>
        <v>256818</v>
      </c>
      <c r="AI89" s="166">
        <f>AG89+AH89</f>
        <v>-752337</v>
      </c>
      <c r="AJ89" s="166">
        <f>AJ88-AJ44</f>
        <v>-518796.50000000186</v>
      </c>
      <c r="AK89" s="159">
        <f>AK88-AK44</f>
        <v>99999.740000000224</v>
      </c>
      <c r="AL89" s="159">
        <f t="shared" ref="AL89:AN89" si="57">AL88-AL44</f>
        <v>15200</v>
      </c>
      <c r="AM89" s="159">
        <f t="shared" si="57"/>
        <v>115199.74000000022</v>
      </c>
      <c r="AN89" s="159">
        <f t="shared" si="57"/>
        <v>539784.49000000022</v>
      </c>
      <c r="AO89" s="159">
        <f t="shared" ref="AO89" si="58">AO88-AO44</f>
        <v>0</v>
      </c>
      <c r="AP89" s="159">
        <f t="shared" ref="AP89" si="59">AP88-AP44</f>
        <v>337</v>
      </c>
      <c r="AQ89" s="159">
        <f t="shared" ref="AQ89" si="60">AQ88-AQ44</f>
        <v>337</v>
      </c>
      <c r="AR89" s="159">
        <f t="shared" ref="AR89" si="61">AR88-AR44</f>
        <v>-467982.20999999996</v>
      </c>
      <c r="AS89" s="159">
        <f>AS88-AS44</f>
        <v>-757930.79999999702</v>
      </c>
      <c r="AT89" s="159">
        <f>AT88-AT44</f>
        <v>1042797.8499999996</v>
      </c>
      <c r="AU89" s="159">
        <f t="shared" si="39"/>
        <v>284867.05000000261</v>
      </c>
      <c r="AV89" s="159">
        <f>AV88-AV44</f>
        <v>515279.8900000006</v>
      </c>
      <c r="AW89" s="195">
        <v>187250</v>
      </c>
    </row>
    <row r="90" spans="1:63" ht="15" customHeight="1" x14ac:dyDescent="0.2">
      <c r="A90" s="15"/>
      <c r="B90" s="16"/>
      <c r="C90" s="52"/>
      <c r="D90" s="18">
        <f>D54+D67+D72+D78+D87</f>
        <v>13013178</v>
      </c>
      <c r="E90" s="18">
        <f>E54+E67+E72+E80</f>
        <v>1091100</v>
      </c>
      <c r="F90" s="18">
        <f>F54+F67+F72+F78+F80+F87</f>
        <v>14104278</v>
      </c>
      <c r="G90" s="19">
        <f>G53+G54+G55+G67+G69+G72+G78+G80+G87</f>
        <v>14475047.34</v>
      </c>
      <c r="H90" s="20">
        <f>G90-'[1]Náklady Výnosy 2008 €'!F87</f>
        <v>13958981.483264953</v>
      </c>
      <c r="I90" s="155">
        <f>I72+I82+I87</f>
        <v>6534155</v>
      </c>
      <c r="J90" s="155">
        <f>J54+J67+J80</f>
        <v>302930</v>
      </c>
      <c r="K90" s="155">
        <f>K54+K67+K72+K80+K82+K87</f>
        <v>6837085</v>
      </c>
      <c r="M90" s="139">
        <f>M54+M72+M78+M87</f>
        <v>10452318</v>
      </c>
      <c r="N90" s="139">
        <f>N53+N54+N72+N80</f>
        <v>655000</v>
      </c>
      <c r="O90" s="139">
        <f>M90+N90</f>
        <v>11107318</v>
      </c>
      <c r="P90" s="141"/>
      <c r="Q90" s="4">
        <f>SUM(Q53:Q87)</f>
        <v>16417915.279999999</v>
      </c>
      <c r="R90" s="155">
        <f>SUM(R53:R87)</f>
        <v>481000</v>
      </c>
      <c r="S90" s="155">
        <f>S53+S54+S55+S72+S78+S80+S87</f>
        <v>16888915.280000001</v>
      </c>
      <c r="U90" s="21">
        <f>SUM(U53:U87)</f>
        <v>4945741</v>
      </c>
      <c r="V90" s="21">
        <f>V54+V67</f>
        <v>28010</v>
      </c>
      <c r="W90" s="21">
        <f>W54+W67+W72+W78+W80+W87</f>
        <v>4973751</v>
      </c>
      <c r="Y90" s="21">
        <f>Y53+Y54+Y55+Y72+Y78+Y87</f>
        <v>14164784</v>
      </c>
      <c r="Z90" s="21">
        <f>Z53+Z54+Z80</f>
        <v>367000</v>
      </c>
      <c r="AA90" s="21">
        <f>AA87+AA80+AA78+AA72+AA55+AA54</f>
        <v>14531784</v>
      </c>
      <c r="AC90" s="21">
        <f>SUM(AC53:AC87)</f>
        <v>2704658</v>
      </c>
      <c r="AD90" s="21">
        <f>SUM(AD53:AD87)</f>
        <v>91208</v>
      </c>
      <c r="AE90" s="21">
        <f>AE53+AE54+AE72+AE78+AE80+AE82+AE87</f>
        <v>2795866</v>
      </c>
      <c r="AG90" s="155">
        <f>SUM(AG53:AG87)</f>
        <v>12333162</v>
      </c>
      <c r="AH90" s="155">
        <f>SUM(AH53:AH87)</f>
        <v>1671187</v>
      </c>
      <c r="AI90" s="155">
        <f>AI53+AI54+AI67+AI72+AI78+AI80+AI87</f>
        <v>14004349</v>
      </c>
      <c r="AK90" s="192">
        <f>SUM(AK53:AK87)</f>
        <v>7605093.7400000002</v>
      </c>
      <c r="AL90" s="192">
        <f>SUM(AL53:AL87)</f>
        <v>1203160</v>
      </c>
      <c r="AM90" s="193"/>
      <c r="AN90" s="194"/>
      <c r="AO90" s="21">
        <f>SUM(AO53:AO87)</f>
        <v>118200</v>
      </c>
      <c r="AP90" s="21">
        <f>SUM(AP53:AP87)</f>
        <v>654103</v>
      </c>
      <c r="AS90" s="155">
        <f>D90+I90+M90+Q90+U90+Y90+AC90+AG90+AK90+AO90</f>
        <v>88289205.019999996</v>
      </c>
      <c r="AT90" s="155">
        <f>E90+J90+N90+R90+V90+Z90+AD90+AH90+AL90+AP90</f>
        <v>6544698</v>
      </c>
      <c r="AU90" s="4">
        <f t="shared" si="39"/>
        <v>94833903.019999996</v>
      </c>
      <c r="AV90" s="21">
        <f>AV88-AU88</f>
        <v>3366673.1600000113</v>
      </c>
    </row>
    <row r="91" spans="1:63" ht="15" customHeight="1" x14ac:dyDescent="0.25">
      <c r="A91" s="15"/>
      <c r="B91" s="16"/>
      <c r="C91" s="52"/>
      <c r="D91" s="28"/>
      <c r="E91" s="28"/>
      <c r="F91" s="28">
        <f>F90-F46</f>
        <v>147148</v>
      </c>
      <c r="G91" s="29"/>
      <c r="H91" s="20">
        <f>G91-'[1]Náklady Výnosy 2008 €'!F88</f>
        <v>0</v>
      </c>
      <c r="K91" s="155">
        <f>K90-K46</f>
        <v>90663</v>
      </c>
      <c r="O91" s="21">
        <f>O90-O46</f>
        <v>263366</v>
      </c>
      <c r="S91" s="155">
        <f>Q89+R89</f>
        <v>233344.28999999905</v>
      </c>
      <c r="W91" s="21">
        <f>U89+V89</f>
        <v>53187</v>
      </c>
      <c r="AA91" s="21">
        <f>AA90-AA44</f>
        <v>115466.01999999955</v>
      </c>
      <c r="AE91" s="21">
        <f>AE90-AE44</f>
        <v>18493</v>
      </c>
      <c r="AI91" s="21">
        <f>AI88-AI44</f>
        <v>-752337</v>
      </c>
      <c r="AK91" s="121"/>
      <c r="AL91" s="121"/>
      <c r="AM91" s="121"/>
      <c r="AS91" s="21">
        <f>D88+I88+M88+Q88+U88+Y88+AC88+AG88+AK88+AO88</f>
        <v>88289205.019999996</v>
      </c>
      <c r="AT91" s="155">
        <f>E88+J88+N88+R88+V88+Z88+AD88+AH88+AL88+AP88</f>
        <v>6544698</v>
      </c>
      <c r="AU91" s="155">
        <f>AS91+AT91</f>
        <v>94833903.019999996</v>
      </c>
      <c r="AV91" s="155"/>
    </row>
    <row r="92" spans="1:63" ht="33" customHeight="1" x14ac:dyDescent="0.2">
      <c r="A92" s="264"/>
      <c r="B92" s="264"/>
      <c r="C92" s="55"/>
      <c r="D92" s="56"/>
      <c r="E92" s="56"/>
      <c r="F92" s="56"/>
      <c r="G92" s="57"/>
      <c r="H92" s="20">
        <f>G92-'[1]Náklady Výnosy 2008 €'!F89</f>
        <v>-3080594.8350262092</v>
      </c>
      <c r="S92" s="155"/>
      <c r="AG92" s="199">
        <v>511</v>
      </c>
      <c r="AH92" s="21"/>
      <c r="AI92" s="21"/>
      <c r="AJ92" s="21"/>
      <c r="AK92" s="122"/>
      <c r="AL92" s="122"/>
      <c r="AM92" s="122"/>
      <c r="AT92" s="155">
        <f>AT88-AT91</f>
        <v>0</v>
      </c>
      <c r="AU92" s="155">
        <f>AU91-AU46</f>
        <v>284867.04999999702</v>
      </c>
      <c r="AV92" s="155" t="s">
        <v>131</v>
      </c>
      <c r="AW92" s="4" t="s">
        <v>132</v>
      </c>
    </row>
    <row r="93" spans="1:63" ht="15" hidden="1" customHeight="1" x14ac:dyDescent="0.25">
      <c r="A93" s="265" t="s">
        <v>89</v>
      </c>
      <c r="B93" s="265"/>
      <c r="C93" s="32">
        <v>995</v>
      </c>
      <c r="D93" s="28">
        <f>SUM(D53:D92)</f>
        <v>38950942</v>
      </c>
      <c r="E93" s="28">
        <f>SUM(E53:E92)</f>
        <v>3509040</v>
      </c>
      <c r="F93" s="28">
        <f>SUM(F53:F92)</f>
        <v>42607130</v>
      </c>
      <c r="G93" s="29">
        <f>SUM(G53:G92)</f>
        <v>43493547.850000009</v>
      </c>
      <c r="AG93" s="200"/>
      <c r="AK93" s="122"/>
      <c r="AL93" s="122"/>
      <c r="AM93" s="122"/>
    </row>
    <row r="94" spans="1:63" ht="15" customHeight="1" x14ac:dyDescent="0.25">
      <c r="A94" s="58"/>
      <c r="B94" s="58"/>
      <c r="C94" s="59"/>
      <c r="D94" s="210"/>
      <c r="E94" s="210"/>
      <c r="F94" s="210"/>
      <c r="G94" s="211"/>
      <c r="AG94" s="200"/>
      <c r="AJ94" s="21"/>
      <c r="AK94" s="122"/>
      <c r="AL94" s="122"/>
      <c r="AM94" s="122"/>
      <c r="AU94" s="155">
        <f>AU91-AU88</f>
        <v>0</v>
      </c>
      <c r="AW94" s="4" t="s">
        <v>135</v>
      </c>
      <c r="BC94" s="4">
        <v>14039.42</v>
      </c>
      <c r="BG94" s="4" t="s">
        <v>144</v>
      </c>
      <c r="BK94" s="4">
        <v>6.74</v>
      </c>
    </row>
    <row r="95" spans="1:63" ht="15" customHeight="1" x14ac:dyDescent="0.25">
      <c r="A95" s="58"/>
      <c r="B95" s="58"/>
      <c r="C95" s="59"/>
      <c r="D95" s="210"/>
      <c r="E95" s="210"/>
      <c r="F95" s="210"/>
      <c r="G95" s="211"/>
      <c r="AG95" s="200"/>
      <c r="AK95" s="122"/>
      <c r="AL95" s="122"/>
      <c r="AM95" s="122"/>
      <c r="AW95" s="4" t="s">
        <v>136</v>
      </c>
      <c r="BC95" s="4">
        <v>2019.36</v>
      </c>
      <c r="BG95" s="4" t="s">
        <v>145</v>
      </c>
      <c r="BK95" s="4">
        <v>1096.3900000000001</v>
      </c>
    </row>
    <row r="96" spans="1:63" ht="15" customHeight="1" x14ac:dyDescent="0.25">
      <c r="A96" s="58"/>
      <c r="B96" s="58"/>
      <c r="C96" s="59"/>
      <c r="D96" s="210"/>
      <c r="E96" s="210"/>
      <c r="F96" s="210"/>
      <c r="G96" s="211"/>
      <c r="AG96" s="200"/>
      <c r="AK96" s="122"/>
      <c r="AL96" s="122"/>
      <c r="AM96" s="122"/>
      <c r="AW96" s="4" t="s">
        <v>137</v>
      </c>
      <c r="BC96" s="4">
        <v>24145.29</v>
      </c>
      <c r="BG96" s="4" t="s">
        <v>146</v>
      </c>
      <c r="BK96" s="4">
        <v>4535</v>
      </c>
    </row>
    <row r="97" spans="1:63" ht="15" customHeight="1" x14ac:dyDescent="0.25">
      <c r="A97" s="58"/>
      <c r="B97" s="58"/>
      <c r="C97" s="59"/>
      <c r="D97" s="210"/>
      <c r="E97" s="210"/>
      <c r="F97" s="210"/>
      <c r="G97" s="211"/>
      <c r="AG97" s="200"/>
      <c r="AK97" s="122"/>
      <c r="AL97" s="122"/>
      <c r="AM97" s="122"/>
      <c r="AW97" s="4" t="s">
        <v>138</v>
      </c>
      <c r="BC97" s="4">
        <v>11181.43</v>
      </c>
      <c r="BG97" s="4" t="s">
        <v>147</v>
      </c>
      <c r="BK97" s="4">
        <v>229.39</v>
      </c>
    </row>
    <row r="98" spans="1:63" ht="15" customHeight="1" x14ac:dyDescent="0.25">
      <c r="A98" s="58"/>
      <c r="B98" s="58"/>
      <c r="C98" s="59"/>
      <c r="D98" s="210"/>
      <c r="E98" s="210"/>
      <c r="F98" s="210"/>
      <c r="G98" s="211"/>
      <c r="AG98" s="200"/>
      <c r="AK98" s="122"/>
      <c r="AL98" s="122"/>
      <c r="AM98" s="122"/>
      <c r="AW98" s="4" t="s">
        <v>139</v>
      </c>
      <c r="BC98" s="4">
        <v>301.43</v>
      </c>
      <c r="BG98" s="4" t="s">
        <v>148</v>
      </c>
      <c r="BK98" s="4">
        <v>4270.58</v>
      </c>
    </row>
    <row r="99" spans="1:63" ht="22.5" customHeight="1" x14ac:dyDescent="0.2">
      <c r="A99" s="58"/>
      <c r="B99" s="39"/>
      <c r="C99" s="59"/>
      <c r="D99" s="60"/>
      <c r="E99" s="60"/>
      <c r="F99" s="61">
        <f>D88+E88</f>
        <v>14104278</v>
      </c>
      <c r="G99" s="62"/>
      <c r="AG99" s="202" t="s">
        <v>105</v>
      </c>
      <c r="AS99" s="155"/>
      <c r="AV99" s="4" t="s">
        <v>134</v>
      </c>
      <c r="AW99" s="4" t="s">
        <v>140</v>
      </c>
      <c r="BC99" s="4">
        <v>129634.53</v>
      </c>
      <c r="BG99" s="4" t="s">
        <v>149</v>
      </c>
      <c r="BK99" s="4">
        <v>15414.05</v>
      </c>
    </row>
    <row r="100" spans="1:63" ht="20.25" customHeight="1" x14ac:dyDescent="0.2">
      <c r="A100" s="58"/>
      <c r="B100" s="39"/>
      <c r="C100" s="59"/>
      <c r="D100" s="60"/>
      <c r="E100" s="60"/>
      <c r="F100" s="61"/>
      <c r="G100" s="62"/>
      <c r="AG100" s="202"/>
      <c r="AS100" s="155"/>
      <c r="AW100" s="4" t="s">
        <v>141</v>
      </c>
      <c r="BC100" s="4">
        <v>1832.99</v>
      </c>
      <c r="BG100" s="4" t="s">
        <v>150</v>
      </c>
      <c r="BK100" s="4">
        <v>55005.07</v>
      </c>
    </row>
    <row r="101" spans="1:63" ht="31.5" customHeight="1" x14ac:dyDescent="0.2">
      <c r="A101" s="58"/>
      <c r="B101" s="39"/>
      <c r="C101" s="59"/>
      <c r="D101" s="60"/>
      <c r="E101" s="60"/>
      <c r="F101" s="61"/>
      <c r="G101" s="62"/>
      <c r="AG101" s="202"/>
      <c r="AS101" s="155"/>
      <c r="AW101" s="4" t="s">
        <v>143</v>
      </c>
      <c r="BC101" s="4">
        <f>SUM(BC94:BC100)</f>
        <v>183154.44999999998</v>
      </c>
      <c r="BG101" s="4" t="s">
        <v>151</v>
      </c>
      <c r="BK101" s="4">
        <v>33731.269999999997</v>
      </c>
    </row>
    <row r="102" spans="1:63" ht="31.5" customHeight="1" x14ac:dyDescent="0.2">
      <c r="A102" s="58"/>
      <c r="B102" s="39"/>
      <c r="C102" s="59"/>
      <c r="D102" s="60"/>
      <c r="E102" s="60"/>
      <c r="F102" s="61"/>
      <c r="G102" s="62"/>
      <c r="AG102" s="202"/>
      <c r="AS102" s="155"/>
      <c r="BG102" s="4" t="s">
        <v>152</v>
      </c>
      <c r="BK102" s="4">
        <f>SUM(BK94:BK101)</f>
        <v>114288.48999999999</v>
      </c>
    </row>
    <row r="103" spans="1:63" s="67" customFormat="1" ht="12.75" customHeight="1" x14ac:dyDescent="0.25">
      <c r="A103" s="63"/>
      <c r="B103" s="39"/>
      <c r="C103" s="44"/>
      <c r="D103" s="64"/>
      <c r="E103" s="64"/>
      <c r="F103" s="64">
        <f>F54+F67+F72+F78+F80+F87</f>
        <v>14104278</v>
      </c>
      <c r="G103" s="65"/>
      <c r="H103" s="66"/>
      <c r="AG103" s="201" t="s">
        <v>106</v>
      </c>
      <c r="AV103" s="67">
        <v>360864</v>
      </c>
      <c r="AW103" s="67" t="s">
        <v>133</v>
      </c>
    </row>
    <row r="104" spans="1:63" s="67" customFormat="1" ht="44.25" customHeight="1" x14ac:dyDescent="0.25">
      <c r="A104" s="267"/>
      <c r="B104" s="267"/>
      <c r="C104" s="44"/>
      <c r="D104" s="64"/>
      <c r="E104" s="64"/>
      <c r="F104" s="64"/>
      <c r="G104" s="65"/>
      <c r="H104" s="66"/>
      <c r="AG104" s="203" t="s">
        <v>107</v>
      </c>
      <c r="AW104" s="67" t="s">
        <v>153</v>
      </c>
      <c r="BC104" s="212">
        <f>AV44+BK102</f>
        <v>97799584.780000001</v>
      </c>
    </row>
    <row r="105" spans="1:63" ht="18" customHeight="1" x14ac:dyDescent="0.2">
      <c r="A105" s="2"/>
      <c r="F105" s="4"/>
      <c r="G105" s="68"/>
      <c r="H105" s="4"/>
      <c r="BC105" s="21">
        <f>AV88+BC101</f>
        <v>98383730.63000001</v>
      </c>
    </row>
    <row r="106" spans="1:63" ht="18" customHeight="1" x14ac:dyDescent="0.2">
      <c r="E106" s="69"/>
      <c r="F106" s="46"/>
      <c r="G106" s="70"/>
      <c r="AG106" s="204">
        <v>518</v>
      </c>
      <c r="BC106" s="21">
        <f>BC105-BC104</f>
        <v>584145.85000000894</v>
      </c>
    </row>
    <row r="107" spans="1:63" ht="18" customHeight="1" x14ac:dyDescent="0.2">
      <c r="A107" s="71"/>
      <c r="AG107" s="204" t="s">
        <v>108</v>
      </c>
    </row>
    <row r="108" spans="1:63" ht="18" customHeight="1" x14ac:dyDescent="0.2">
      <c r="A108" s="72"/>
      <c r="B108" s="73"/>
      <c r="C108" s="72"/>
      <c r="D108" s="74"/>
      <c r="E108" s="74"/>
      <c r="F108" s="74"/>
      <c r="AG108" s="204" t="s">
        <v>109</v>
      </c>
    </row>
    <row r="109" spans="1:63" ht="18" customHeight="1" x14ac:dyDescent="0.2">
      <c r="A109" s="72"/>
      <c r="B109" s="73"/>
      <c r="C109" s="72"/>
      <c r="D109" s="74"/>
      <c r="E109" s="74"/>
      <c r="F109" s="74"/>
      <c r="AG109" s="204" t="s">
        <v>110</v>
      </c>
    </row>
    <row r="110" spans="1:63" ht="18" customHeight="1" x14ac:dyDescent="0.2">
      <c r="A110" s="75"/>
      <c r="B110" s="73"/>
      <c r="C110" s="76"/>
      <c r="D110" s="77"/>
      <c r="E110" s="77"/>
      <c r="F110" s="77"/>
      <c r="AG110" s="204" t="s">
        <v>111</v>
      </c>
    </row>
    <row r="111" spans="1:63" ht="23.45" customHeight="1" x14ac:dyDescent="0.2">
      <c r="A111" s="75"/>
      <c r="B111" s="73"/>
      <c r="C111" s="76"/>
      <c r="D111" s="77"/>
      <c r="E111" s="77"/>
      <c r="F111" s="77"/>
      <c r="AG111" s="204" t="s">
        <v>112</v>
      </c>
    </row>
    <row r="112" spans="1:63" ht="25.9" customHeight="1" x14ac:dyDescent="0.2">
      <c r="A112" s="75"/>
      <c r="D112" s="77"/>
      <c r="E112" s="77"/>
      <c r="F112" s="77"/>
      <c r="AG112" s="204" t="s">
        <v>113</v>
      </c>
    </row>
    <row r="113" spans="33:33" x14ac:dyDescent="0.2">
      <c r="AG113" s="204" t="s">
        <v>114</v>
      </c>
    </row>
    <row r="114" spans="33:33" x14ac:dyDescent="0.2">
      <c r="AG114" s="204" t="s">
        <v>115</v>
      </c>
    </row>
    <row r="115" spans="33:33" x14ac:dyDescent="0.2">
      <c r="AG115" s="204" t="s">
        <v>116</v>
      </c>
    </row>
    <row r="116" spans="33:33" x14ac:dyDescent="0.2">
      <c r="AG116" s="204" t="s">
        <v>117</v>
      </c>
    </row>
    <row r="117" spans="33:33" x14ac:dyDescent="0.2">
      <c r="AG117" s="204" t="s">
        <v>118</v>
      </c>
    </row>
    <row r="118" spans="33:33" x14ac:dyDescent="0.2">
      <c r="AG118" s="204" t="s">
        <v>119</v>
      </c>
    </row>
    <row r="119" spans="33:33" x14ac:dyDescent="0.2">
      <c r="AG119" s="204" t="s">
        <v>120</v>
      </c>
    </row>
    <row r="120" spans="33:33" x14ac:dyDescent="0.2">
      <c r="AG120" s="204" t="s">
        <v>121</v>
      </c>
    </row>
    <row r="121" spans="33:33" x14ac:dyDescent="0.2">
      <c r="AG121" s="204" t="s">
        <v>122</v>
      </c>
    </row>
    <row r="122" spans="33:33" x14ac:dyDescent="0.2">
      <c r="AG122" s="204" t="s">
        <v>123</v>
      </c>
    </row>
    <row r="123" spans="33:33" x14ac:dyDescent="0.2">
      <c r="AG123" s="204" t="s">
        <v>124</v>
      </c>
    </row>
    <row r="126" spans="33:33" x14ac:dyDescent="0.2">
      <c r="AG126" s="4">
        <v>649</v>
      </c>
    </row>
    <row r="127" spans="33:33" x14ac:dyDescent="0.2">
      <c r="AG127" s="4" t="s">
        <v>125</v>
      </c>
    </row>
    <row r="128" spans="33:33" x14ac:dyDescent="0.2">
      <c r="AG128" s="4" t="s">
        <v>126</v>
      </c>
    </row>
    <row r="129" spans="33:33" x14ac:dyDescent="0.2">
      <c r="AG129" s="4" t="s">
        <v>127</v>
      </c>
    </row>
    <row r="131" spans="33:33" x14ac:dyDescent="0.2">
      <c r="AG131" s="4">
        <v>658</v>
      </c>
    </row>
    <row r="132" spans="33:33" x14ac:dyDescent="0.2">
      <c r="AG132" s="4" t="s">
        <v>128</v>
      </c>
    </row>
    <row r="133" spans="33:33" x14ac:dyDescent="0.2">
      <c r="AG133" s="4" t="s">
        <v>129</v>
      </c>
    </row>
  </sheetData>
  <mergeCells count="67">
    <mergeCell ref="AG2:AJ2"/>
    <mergeCell ref="AG4:AI4"/>
    <mergeCell ref="AJ4:AJ5"/>
    <mergeCell ref="AG50:AI50"/>
    <mergeCell ref="AJ50:AJ51"/>
    <mergeCell ref="AK2:AN2"/>
    <mergeCell ref="AO2:AR2"/>
    <mergeCell ref="AO4:AQ4"/>
    <mergeCell ref="AR4:AR5"/>
    <mergeCell ref="AO50:AQ50"/>
    <mergeCell ref="AR50:AR51"/>
    <mergeCell ref="AK4:AM4"/>
    <mergeCell ref="AK48:AM48"/>
    <mergeCell ref="AN4:AN5"/>
    <mergeCell ref="AK50:AM50"/>
    <mergeCell ref="AN50:AN51"/>
    <mergeCell ref="D2:G2"/>
    <mergeCell ref="D3:F3"/>
    <mergeCell ref="A4:A6"/>
    <mergeCell ref="B4:B6"/>
    <mergeCell ref="C4:C6"/>
    <mergeCell ref="D4:F4"/>
    <mergeCell ref="G4:G5"/>
    <mergeCell ref="A104:B104"/>
    <mergeCell ref="A44:B44"/>
    <mergeCell ref="A45:B45"/>
    <mergeCell ref="A50:A52"/>
    <mergeCell ref="B50:B52"/>
    <mergeCell ref="G50:G51"/>
    <mergeCell ref="A88:B88"/>
    <mergeCell ref="A89:B89"/>
    <mergeCell ref="A92:B92"/>
    <mergeCell ref="A93:B93"/>
    <mergeCell ref="C50:C52"/>
    <mergeCell ref="D50:F50"/>
    <mergeCell ref="Q2:T2"/>
    <mergeCell ref="T4:T5"/>
    <mergeCell ref="Q50:S50"/>
    <mergeCell ref="T50:T51"/>
    <mergeCell ref="I50:K50"/>
    <mergeCell ref="L50:L51"/>
    <mergeCell ref="M50:O50"/>
    <mergeCell ref="P50:P51"/>
    <mergeCell ref="L4:L5"/>
    <mergeCell ref="I2:L2"/>
    <mergeCell ref="M2:P2"/>
    <mergeCell ref="P4:P5"/>
    <mergeCell ref="AC2:AF2"/>
    <mergeCell ref="Y50:AA50"/>
    <mergeCell ref="AB50:AB51"/>
    <mergeCell ref="U4:W4"/>
    <mergeCell ref="X4:X5"/>
    <mergeCell ref="U2:X2"/>
    <mergeCell ref="U50:W50"/>
    <mergeCell ref="X50:X51"/>
    <mergeCell ref="Y4:AA4"/>
    <mergeCell ref="AB4:AB5"/>
    <mergeCell ref="Y2:AB2"/>
    <mergeCell ref="AC50:AE50"/>
    <mergeCell ref="AF50:AF51"/>
    <mergeCell ref="AC4:AE4"/>
    <mergeCell ref="AF4:AF5"/>
    <mergeCell ref="AS2:AW2"/>
    <mergeCell ref="AS4:AU4"/>
    <mergeCell ref="AW4:AW5"/>
    <mergeCell ref="AS50:AU50"/>
    <mergeCell ref="AW50:AW51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  <colBreaks count="7" manualBreakCount="7">
    <brk id="8" max="88" man="1"/>
    <brk id="12" max="88" man="1"/>
    <brk id="16" max="88" man="1"/>
    <brk id="28" max="88" man="1"/>
    <brk id="36" max="88" man="1"/>
    <brk id="44" max="88" man="1"/>
    <brk id="49" max="8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final </vt:lpstr>
      <vt:lpstr>Hárok2</vt:lpstr>
      <vt:lpstr>Hárok3</vt:lpstr>
      <vt:lpstr>'final '!Názvy_tlače</vt:lpstr>
      <vt:lpstr>'final 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gogorova</cp:lastModifiedBy>
  <cp:lastPrinted>2014-08-18T08:11:18Z</cp:lastPrinted>
  <dcterms:created xsi:type="dcterms:W3CDTF">2014-06-03T18:43:06Z</dcterms:created>
  <dcterms:modified xsi:type="dcterms:W3CDTF">2014-10-08T09:07:49Z</dcterms:modified>
</cp:coreProperties>
</file>