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1"/>
  </bookViews>
  <sheets>
    <sheet name="úpravy" sheetId="1" r:id="rId1"/>
    <sheet name="súhrnná po A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MP98">#REF!</definedName>
    <definedName name="__par18">#REF!</definedName>
    <definedName name="__par1801">#REF!</definedName>
    <definedName name="__pie97">#REF!</definedName>
    <definedName name="__pie98">#REF!</definedName>
    <definedName name="__Pr2">'[3]vyk95'!#REF!</definedName>
    <definedName name="__Pr3">'[3]vyk95'!#REF!</definedName>
    <definedName name="_pie99">'[10]VYR99-E'!$AK$45</definedName>
    <definedName name="AU_paiDOK2000" localSheetId="1">#REF!</definedName>
    <definedName name="AU_paiDOK2000">#REF!</definedName>
    <definedName name="AU_pD2001_DS_bKA" localSheetId="1">#REF!</definedName>
    <definedName name="AU_pD2001_DS_bKA">#REF!</definedName>
    <definedName name="AU_pP2000_DS_bKA" localSheetId="1">#REF!</definedName>
    <definedName name="AU_pP2000_DS_bKA">#REF!</definedName>
    <definedName name="AU_pP2001_DS_bKA" localSheetId="1">#REF!</definedName>
    <definedName name="AU_pP2001_DS_bKA">#REF!</definedName>
    <definedName name="AU_pP2001_DS_sKA" localSheetId="1">#REF!</definedName>
    <definedName name="AU_pP2001_DS_sKA">#REF!</definedName>
    <definedName name="AU_ppa2000_bDOK" localSheetId="1">#REF!</definedName>
    <definedName name="AU_ppa2000_bDOK">#REF!</definedName>
    <definedName name="AU_pps_bKA" localSheetId="1">#REF!</definedName>
    <definedName name="AU_pps_bKA">#REF!</definedName>
    <definedName name="AU_pps_bKA_bDOK" localSheetId="1">#REF!</definedName>
    <definedName name="AU_pps_bKA_bDOK">#REF!</definedName>
    <definedName name="AU_pps_sKA" localSheetId="1">#REF!</definedName>
    <definedName name="AU_pps_sKA">#REF!</definedName>
    <definedName name="AU_pps_sKA_bDOK" localSheetId="1">#REF!</definedName>
    <definedName name="AU_pps_sKA_bDOK">#REF!</definedName>
    <definedName name="AU_vKEN_aiDOK" localSheetId="1">#REF!</definedName>
    <definedName name="AU_vKEN_aiDOK">#REF!</definedName>
    <definedName name="AU_vKEN_bKA" localSheetId="1">#REF!</definedName>
    <definedName name="AU_vKEN_bKA">#REF!</definedName>
    <definedName name="AU_vKEN_bKA_bDOK" localSheetId="1">#REF!</definedName>
    <definedName name="AU_vKEN_bKA_bDOK">#REF!</definedName>
    <definedName name="AU_vKEN_bKA_PDS" localSheetId="1">#REF!</definedName>
    <definedName name="AU_vKEN_bKA_PDS">#REF!</definedName>
    <definedName name="AU_vKEN_sKA" localSheetId="1">#REF!</definedName>
    <definedName name="AU_vKEN_sKA">#REF!</definedName>
    <definedName name="AU_vKEN_sKA_bDOK" localSheetId="1">#REF!</definedName>
    <definedName name="AU_vKEN_sKA_bDOK">#REF!</definedName>
    <definedName name="AU_vKEN_sKA_PDS" localSheetId="1">#REF!</definedName>
    <definedName name="AU_vKEN_sKA_PDS">#REF!</definedName>
    <definedName name="AU_vKPN_aiDOK" localSheetId="1">#REF!</definedName>
    <definedName name="AU_vKPN_aiDOK">#REF!</definedName>
    <definedName name="AU_vKPN_bKA" localSheetId="1">#REF!</definedName>
    <definedName name="AU_vKPN_bKA">#REF!</definedName>
    <definedName name="AU_vKPN_bKA_bDOK" localSheetId="1">#REF!</definedName>
    <definedName name="AU_vKPN_bKA_bDOK">#REF!</definedName>
    <definedName name="AU_vKPN_bKA_PDS" localSheetId="1">#REF!</definedName>
    <definedName name="AU_vKPN_bKA_PDS">#REF!</definedName>
    <definedName name="AU_vKPN_sKA" localSheetId="1">#REF!</definedName>
    <definedName name="AU_vKPN_sKA">#REF!</definedName>
    <definedName name="AU_vKPN_sKA_bDOK" localSheetId="1">#REF!</definedName>
    <definedName name="AU_vKPN_sKA_bDOK">#REF!</definedName>
    <definedName name="AU_vKPN_sKA_PDS" localSheetId="1">#REF!</definedName>
    <definedName name="AU_vKPN_sKA_PDS">#REF!</definedName>
    <definedName name="AV" localSheetId="1">'[3]Mz01-96'!#REF!</definedName>
    <definedName name="AV" localSheetId="0">'[3]Mz01-96'!#REF!</definedName>
    <definedName name="AV">'[3]Mz01-96'!#REF!</definedName>
    <definedName name="AVN" localSheetId="1">'[3]Pr-6'!#REF!</definedName>
    <definedName name="AVN" localSheetId="0">'[3]Pr-6'!#REF!</definedName>
    <definedName name="AVN">'[3]Pr-6'!#REF!</definedName>
    <definedName name="avnoi" localSheetId="1">'[4]Pr-6'!#REF!</definedName>
    <definedName name="avnoi" localSheetId="0">'[5]Pr-6'!#REF!</definedName>
    <definedName name="avnoi">'[5]Pr-6'!#REF!</definedName>
    <definedName name="c.1" localSheetId="1">'[3]vyk95'!#REF!</definedName>
    <definedName name="c.1" localSheetId="0">'[3]vyk95'!#REF!</definedName>
    <definedName name="c.1">'[3]vyk95'!#REF!</definedName>
    <definedName name="c.2" localSheetId="1">'[3]vyk95'!#REF!</definedName>
    <definedName name="c.2" localSheetId="0">'[3]vyk95'!#REF!</definedName>
    <definedName name="c.2">'[3]vyk95'!#REF!</definedName>
    <definedName name="c.3" localSheetId="1">'[3]vyk95'!#REF!</definedName>
    <definedName name="c.3" localSheetId="0">'[3]vyk95'!#REF!</definedName>
    <definedName name="c.3">'[3]vyk95'!#REF!</definedName>
    <definedName name="c.4" localSheetId="1">'[3]vyk95'!#REF!</definedName>
    <definedName name="c.4" localSheetId="0">'[3]vyk95'!#REF!</definedName>
    <definedName name="c.4">'[3]vyk95'!#REF!</definedName>
    <definedName name="c.5" localSheetId="1">'[3]vyk95'!#REF!</definedName>
    <definedName name="c.5" localSheetId="0">'[3]vyk95'!#REF!</definedName>
    <definedName name="c.5">'[3]vyk95'!#REF!</definedName>
    <definedName name="c.6" localSheetId="1">'[3]vyk95'!#REF!</definedName>
    <definedName name="c.6" localSheetId="0">'[3]vyk95'!#REF!</definedName>
    <definedName name="c.6">'[3]vyk95'!#REF!</definedName>
    <definedName name="cdva" localSheetId="1">'[3]Pr-6'!#REF!</definedName>
    <definedName name="cdva" localSheetId="0">'[3]Pr-6'!#REF!</definedName>
    <definedName name="cdva">'[3]Pr-6'!#REF!</definedName>
    <definedName name="cjd" localSheetId="1">'[3]Pr-6'!#REF!</definedName>
    <definedName name="cjd" localSheetId="0">'[3]Pr-6'!#REF!</definedName>
    <definedName name="cjd">'[3]Pr-6'!#REF!</definedName>
    <definedName name="cpat" localSheetId="1">'[3]Pr-6'!#REF!</definedName>
    <definedName name="cpat" localSheetId="0">'[3]Pr-6'!#REF!</definedName>
    <definedName name="cpat">'[3]Pr-6'!#REF!</definedName>
    <definedName name="cse" localSheetId="1">'[3]Pr-6'!#REF!</definedName>
    <definedName name="cse" localSheetId="0">'[3]Pr-6'!#REF!</definedName>
    <definedName name="cse">'[3]Pr-6'!#REF!</definedName>
    <definedName name="cst" localSheetId="1">'[3]Pr-6'!#REF!</definedName>
    <definedName name="cst" localSheetId="0">'[3]Pr-6'!#REF!</definedName>
    <definedName name="cst">'[3]Pr-6'!#REF!</definedName>
    <definedName name="ctri" localSheetId="1">'[3]Pr-6'!#REF!</definedName>
    <definedName name="ctri" localSheetId="0">'[3]Pr-6'!#REF!</definedName>
    <definedName name="ctri">'[3]Pr-6'!#REF!</definedName>
    <definedName name="Cv" localSheetId="1">'[3]vyk95'!#REF!</definedName>
    <definedName name="Cv" localSheetId="0">'[3]vyk95'!#REF!</definedName>
    <definedName name="Cv">'[3]vyk95'!#REF!</definedName>
    <definedName name="cvn" localSheetId="1">'[3]Pr-6'!#REF!</definedName>
    <definedName name="cvn" localSheetId="0">'[3]Pr-6'!#REF!</definedName>
    <definedName name="cvn">'[3]Pr-6'!#REF!</definedName>
    <definedName name="č2" localSheetId="1">'[4]Pr-6'!#REF!</definedName>
    <definedName name="č2" localSheetId="0">'[5]Pr-6'!#REF!</definedName>
    <definedName name="č2">'[5]Pr-6'!#REF!</definedName>
    <definedName name="DATABASE" localSheetId="1">'[6]T3 - data_odbory'!#REF!</definedName>
    <definedName name="denní" localSheetId="1">#REF!</definedName>
    <definedName name="denní">#REF!</definedName>
    <definedName name="dfghjk" localSheetId="1">'[4]Pr-6'!#REF!</definedName>
    <definedName name="dfghjk" localSheetId="0">'[5]Pr-6'!#REF!</definedName>
    <definedName name="dfghjk">'[5]Pr-6'!#REF!</definedName>
    <definedName name="do">'[8]T2-KPN'!$D$35</definedName>
    <definedName name="doce">'[9]T3-vstupy'!$C$53</definedName>
    <definedName name="dok">'[8]T2-KPN'!$D$34</definedName>
    <definedName name="dokpo" localSheetId="1">#REF!</definedName>
    <definedName name="dokpo">#REF!</definedName>
    <definedName name="dokpred" localSheetId="1">#REF!</definedName>
    <definedName name="dokpred">#REF!</definedName>
    <definedName name="dotácia2010">'[17]T3-vstupy'!#REF!</definedName>
    <definedName name="ertz" localSheetId="1">'[4]Pr-6'!#REF!</definedName>
    <definedName name="ertz" localSheetId="0">'[5]Pr-6'!#REF!</definedName>
    <definedName name="ertz">'[5]Pr-6'!#REF!</definedName>
    <definedName name="EU_paiDOK2000" localSheetId="1">#REF!</definedName>
    <definedName name="EU_paiDOK2000">#REF!</definedName>
    <definedName name="EU_pD2001_DS_bKA" localSheetId="1">#REF!</definedName>
    <definedName name="EU_pD2001_DS_bKA">#REF!</definedName>
    <definedName name="EU_pP2000_DS_bKA" localSheetId="1">#REF!</definedName>
    <definedName name="EU_pP2000_DS_bKA">#REF!</definedName>
    <definedName name="EU_pP2001_DS_bKA" localSheetId="1">#REF!</definedName>
    <definedName name="EU_pP2001_DS_bKA">#REF!</definedName>
    <definedName name="EU_pP2001_DS_sKA" localSheetId="1">#REF!</definedName>
    <definedName name="EU_pP2001_DS_sKA">#REF!</definedName>
    <definedName name="EU_ppa2000_bDOK" localSheetId="1">#REF!</definedName>
    <definedName name="EU_ppa2000_bDOK">#REF!</definedName>
    <definedName name="EU_pps_bKA" localSheetId="1">#REF!</definedName>
    <definedName name="EU_pps_bKA">#REF!</definedName>
    <definedName name="EU_pps_bKA_bDOK" localSheetId="1">#REF!</definedName>
    <definedName name="EU_pps_bKA_bDOK">#REF!</definedName>
    <definedName name="EU_pps_sKA" localSheetId="1">#REF!</definedName>
    <definedName name="EU_pps_sKA">#REF!</definedName>
    <definedName name="EU_pps_sKA_bDOK" localSheetId="1">#REF!</definedName>
    <definedName name="EU_pps_sKA_bDOK">#REF!</definedName>
    <definedName name="EU_vKEN_aiDOK" localSheetId="1">#REF!</definedName>
    <definedName name="EU_vKEN_aiDOK">#REF!</definedName>
    <definedName name="EU_vKEN_bKA" localSheetId="1">#REF!</definedName>
    <definedName name="EU_vKEN_bKA">#REF!</definedName>
    <definedName name="EU_vKEN_bKA_bDOK" localSheetId="1">#REF!</definedName>
    <definedName name="EU_vKEN_bKA_bDOK">#REF!</definedName>
    <definedName name="EU_vKEN_bKA_PDS" localSheetId="1">#REF!</definedName>
    <definedName name="EU_vKEN_bKA_PDS">#REF!</definedName>
    <definedName name="EU_vKEN_sKA" localSheetId="1">#REF!</definedName>
    <definedName name="EU_vKEN_sKA">#REF!</definedName>
    <definedName name="EU_vKEN_sKA_bDOK" localSheetId="1">#REF!</definedName>
    <definedName name="EU_vKEN_sKA_bDOK">#REF!</definedName>
    <definedName name="EU_vKEN_sKA_PDS" localSheetId="1">#REF!</definedName>
    <definedName name="EU_vKEN_sKA_PDS">#REF!</definedName>
    <definedName name="EU_vKPN_aiDOK" localSheetId="1">#REF!</definedName>
    <definedName name="EU_vKPN_aiDOK">#REF!</definedName>
    <definedName name="EU_vKPN_bKA" localSheetId="1">#REF!</definedName>
    <definedName name="EU_vKPN_bKA">#REF!</definedName>
    <definedName name="EU_vKPN_bKA_bDOK" localSheetId="1">#REF!</definedName>
    <definedName name="EU_vKPN_bKA_bDOK">#REF!</definedName>
    <definedName name="EU_vKPN_bKA_PDS" localSheetId="1">#REF!</definedName>
    <definedName name="EU_vKPN_bKA_PDS">#REF!</definedName>
    <definedName name="EU_vKPN_sKA" localSheetId="1">#REF!</definedName>
    <definedName name="EU_vKPN_sKA">#REF!</definedName>
    <definedName name="EU_vKPN_sKA_bDOK" localSheetId="1">#REF!</definedName>
    <definedName name="EU_vKPN_sKA_bDOK">#REF!</definedName>
    <definedName name="EU_vKPN_sKA_PDS" localSheetId="1">#REF!</definedName>
    <definedName name="EU_vKPN_sKA_PDS">#REF!</definedName>
    <definedName name="externeplat" localSheetId="1">#REF!</definedName>
    <definedName name="externeplat">#REF!</definedName>
    <definedName name="exterplat" localSheetId="1">#REF!</definedName>
    <definedName name="exterplat">#REF!</definedName>
    <definedName name="FEI" localSheetId="1">#REF!</definedName>
    <definedName name="FEI">#REF!</definedName>
    <definedName name="fein">'[10]VYR99-E'!$J$2</definedName>
    <definedName name="FEL">#REF!</definedName>
    <definedName name="fgh" localSheetId="1">'[4]Pr-6'!#REF!</definedName>
    <definedName name="fgh" localSheetId="0">'[5]Pr-6'!#REF!</definedName>
    <definedName name="fgh">'[5]Pr-6'!#REF!</definedName>
    <definedName name="FV" localSheetId="1">'[3]Mz01-96'!#REF!</definedName>
    <definedName name="FV" localSheetId="0">'[3]Mz01-96'!#REF!</definedName>
    <definedName name="FV">'[3]Mz01-96'!#REF!</definedName>
    <definedName name="fvn" localSheetId="1">'[3]Pr-6'!#REF!</definedName>
    <definedName name="fvn" localSheetId="0">'[3]Pr-6'!#REF!</definedName>
    <definedName name="fvn">'[3]Pr-6'!#REF!</definedName>
    <definedName name="Gon" localSheetId="1">'[12]vyk95'!#REF!</definedName>
    <definedName name="Gon" localSheetId="0">'[12]vyk95'!#REF!</definedName>
    <definedName name="Gon">'[12]vyk95'!#REF!</definedName>
    <definedName name="GV" localSheetId="1">'[3]Mz01-96'!#REF!</definedName>
    <definedName name="GV" localSheetId="0">'[3]Mz01-96'!#REF!</definedName>
    <definedName name="GV">'[3]Mz01-96'!#REF!</definedName>
    <definedName name="gvn" localSheetId="1">'[3]Pr-6'!#REF!</definedName>
    <definedName name="gvn" localSheetId="0">'[3]Pr-6'!#REF!</definedName>
    <definedName name="gvn">'[3]Pr-6'!#REF!</definedName>
    <definedName name="hvuk" localSheetId="1">'[3]Mz01-96'!#REF!</definedName>
    <definedName name="hvuk" localSheetId="0">'[3]Mz01-96'!#REF!</definedName>
    <definedName name="hvuk">'[3]Mz01-96'!#REF!</definedName>
    <definedName name="hvukn" localSheetId="1">'[3]Pr-6'!#REF!</definedName>
    <definedName name="hvukn" localSheetId="0">'[3]Pr-6'!#REF!</definedName>
    <definedName name="hvukn">'[3]Pr-6'!#REF!</definedName>
    <definedName name="ka_akredit" localSheetId="1">#REF!</definedName>
    <definedName name="ka_akredit">#REF!</definedName>
    <definedName name="ka_neakredit" localSheetId="1">#REF!</definedName>
    <definedName name="ka_neakredit">#REF!</definedName>
    <definedName name="Kap" localSheetId="1">#REF!</definedName>
    <definedName name="Kap">#REF!</definedName>
    <definedName name="kden">'[13]koeficienty'!$D$31</definedName>
    <definedName name="ken_au" localSheetId="1">#REF!</definedName>
    <definedName name="ken_au">#REF!</definedName>
    <definedName name="ken_eu" localSheetId="1">#REF!</definedName>
    <definedName name="ken_eu">#REF!</definedName>
    <definedName name="ken_pu" localSheetId="1">#REF!</definedName>
    <definedName name="ken_pu">#REF!</definedName>
    <definedName name="ken_stu" localSheetId="1">#REF!</definedName>
    <definedName name="ken_stu">#REF!</definedName>
    <definedName name="ken_tru" localSheetId="1">#REF!</definedName>
    <definedName name="ken_tru">#REF!</definedName>
    <definedName name="ken_tuke" localSheetId="1">#REF!</definedName>
    <definedName name="ken_tuke">#REF!</definedName>
    <definedName name="ken_tuzvo" localSheetId="1">#REF!</definedName>
    <definedName name="ken_tuzvo">#REF!</definedName>
    <definedName name="ken_tvu" localSheetId="1">#REF!</definedName>
    <definedName name="ken_tvu">#REF!</definedName>
    <definedName name="ken_ucm" localSheetId="1">#REF!</definedName>
    <definedName name="ken_ucm">#REF!</definedName>
    <definedName name="ken_uk" localSheetId="1">#REF!</definedName>
    <definedName name="ken_uk">#REF!</definedName>
    <definedName name="ken_ukf" localSheetId="1">#REF!</definedName>
    <definedName name="ken_ukf">#REF!</definedName>
    <definedName name="ken_umb" localSheetId="1">#REF!</definedName>
    <definedName name="ken_umb">#REF!</definedName>
    <definedName name="ken_upjs" localSheetId="1">#REF!</definedName>
    <definedName name="ken_upjs">#REF!</definedName>
    <definedName name="ken_vsmu" localSheetId="1">#REF!</definedName>
    <definedName name="ken_vsmu">#REF!</definedName>
    <definedName name="ken_zu" localSheetId="1">#REF!</definedName>
    <definedName name="ken_zu">#REF!</definedName>
    <definedName name="kensk1" localSheetId="1">#REF!</definedName>
    <definedName name="kensk1">#REF!</definedName>
    <definedName name="kensk10" localSheetId="1">#REF!</definedName>
    <definedName name="kensk10">#REF!</definedName>
    <definedName name="kensk11" localSheetId="1">#REF!</definedName>
    <definedName name="kensk11">#REF!</definedName>
    <definedName name="kensk12" localSheetId="1">#REF!</definedName>
    <definedName name="kensk12">#REF!</definedName>
    <definedName name="kensk13" localSheetId="1">#REF!</definedName>
    <definedName name="kensk13">#REF!</definedName>
    <definedName name="kensk14" localSheetId="1">#REF!</definedName>
    <definedName name="kensk14">#REF!</definedName>
    <definedName name="kensk14a" localSheetId="1">#REF!</definedName>
    <definedName name="kensk14a">#REF!</definedName>
    <definedName name="kensk15" localSheetId="1">#REF!</definedName>
    <definedName name="kensk15">#REF!</definedName>
    <definedName name="kensk16" localSheetId="1">#REF!</definedName>
    <definedName name="kensk16">#REF!</definedName>
    <definedName name="kensk17">'[6]T2 - KEN'!$B$18</definedName>
    <definedName name="kensk18">'[6]T2 - KEN'!$B$19</definedName>
    <definedName name="kensk1a" localSheetId="1">'[14]T2-KPN'!#REF!</definedName>
    <definedName name="kensk1a" localSheetId="0">'[14]T2-KPN'!#REF!</definedName>
    <definedName name="kensk1a">'[14]T2-KPN'!#REF!</definedName>
    <definedName name="kensk2" localSheetId="1">#REF!</definedName>
    <definedName name="kensk2">#REF!</definedName>
    <definedName name="kensk3" localSheetId="1">#REF!</definedName>
    <definedName name="kensk3">#REF!</definedName>
    <definedName name="kensk4">'[6]T2 - KEN'!$B$5</definedName>
    <definedName name="kensk4a" localSheetId="1">#REF!</definedName>
    <definedName name="kensk4a">#REF!</definedName>
    <definedName name="kensk5" localSheetId="1">#REF!</definedName>
    <definedName name="kensk5">#REF!</definedName>
    <definedName name="kensk6">'[6]T2 - KEN'!$B$7</definedName>
    <definedName name="kensk7" localSheetId="1">#REF!</definedName>
    <definedName name="kensk7">#REF!</definedName>
    <definedName name="kensk8">'[6]T2 - KEN'!$B$9</definedName>
    <definedName name="kensk9">'[6]T2 - KEN'!$B$10</definedName>
    <definedName name="kext">'[13]koeficienty'!$D$32</definedName>
    <definedName name="kint">'[13]koeficienty'!$D$33</definedName>
    <definedName name="kintds">'[13]koeficienty'!$D$34</definedName>
    <definedName name="KKS">'[15]T3-vstupy'!$C$52</definedName>
    <definedName name="KKS_doc" localSheetId="1">'[16]T3-vstupy'!$C$30</definedName>
    <definedName name="KKS_doc">'[17]T3-vstupy'!$C$49</definedName>
    <definedName name="KKS_ost" localSheetId="1">'[16]T3-vstupy'!$C$32</definedName>
    <definedName name="KKS_ost">'[17]T3-vstupy'!$C$51</definedName>
    <definedName name="KKS_phd" localSheetId="1">'[16]T3-vstupy'!$C$31</definedName>
    <definedName name="KKS_phd">'[17]T3-vstupy'!$C$50</definedName>
    <definedName name="KKS_prof" localSheetId="1">'[16]T3-vstupy'!$C$29</definedName>
    <definedName name="KKS_prof">'[17]T3-vstupy'!$C$48</definedName>
    <definedName name="KLs" localSheetId="1">'[3]vyk95'!#REF!</definedName>
    <definedName name="KLs" localSheetId="0">'[3]vyk95'!#REF!</definedName>
    <definedName name="KLs">'[3]vyk95'!#REF!</definedName>
    <definedName name="klsn" localSheetId="1">'[3]Pr-6'!#REF!</definedName>
    <definedName name="klsn" localSheetId="0">'[3]Pr-6'!#REF!</definedName>
    <definedName name="klsn">'[3]Pr-6'!#REF!</definedName>
    <definedName name="kmp" localSheetId="1">'[17]T12-špecifiká'!#REF!</definedName>
    <definedName name="kmp" localSheetId="0">'[17]T12-špecifiká'!#REF!</definedName>
    <definedName name="kmp">'[17]T12-špecifiká'!#REF!</definedName>
    <definedName name="kmt" localSheetId="1">'[17]T12-špecifiká'!#REF!</definedName>
    <definedName name="kmt" localSheetId="0">'[17]T12-špecifiká'!#REF!</definedName>
    <definedName name="kmt">'[17]T12-špecifiká'!#REF!</definedName>
    <definedName name="koef_gm_mzdy">'[18]T3-vstupy'!$C$44</definedName>
    <definedName name="koef_gm_TaS" localSheetId="1">'[19]T3-vstupy'!$C$70</definedName>
    <definedName name="koef_gm_TaS">'[18]T3-vstupy'!$C$65</definedName>
    <definedName name="koef_udr_kat1">'[18]T3-vstupy'!$C$108</definedName>
    <definedName name="koef_udr_kat2">'[18]T3-vstupy'!$C$109</definedName>
    <definedName name="koef_udr_kat3">'[18]T3-vstupy'!$C$110</definedName>
    <definedName name="kpn_ca_do_1500" localSheetId="1">#REF!</definedName>
    <definedName name="kpn_ca_do_1500">#REF!</definedName>
    <definedName name="kpn_ca_nad">'[20]T2-KPN'!$I$27</definedName>
    <definedName name="kpn_ca_nad_1500" localSheetId="1">#REF!</definedName>
    <definedName name="kpn_ca_nad_1500">#REF!</definedName>
    <definedName name="kpnsk1" localSheetId="1">#REF!</definedName>
    <definedName name="kpnsk1">#REF!</definedName>
    <definedName name="kpnsk10" localSheetId="1">#REF!</definedName>
    <definedName name="kpnsk10">#REF!</definedName>
    <definedName name="kpnsk11" localSheetId="1">#REF!</definedName>
    <definedName name="kpnsk11">#REF!</definedName>
    <definedName name="kpnsk12" localSheetId="1">#REF!</definedName>
    <definedName name="kpnsk12">#REF!</definedName>
    <definedName name="kpnsk13" localSheetId="1">#REF!</definedName>
    <definedName name="kpnsk13">#REF!</definedName>
    <definedName name="kpnsk14" localSheetId="1">#REF!</definedName>
    <definedName name="kpnsk14">#REF!</definedName>
    <definedName name="kpnsk14a" localSheetId="1">#REF!</definedName>
    <definedName name="kpnsk14a">#REF!</definedName>
    <definedName name="kpnsk15" localSheetId="1">#REF!</definedName>
    <definedName name="kpnsk15">#REF!</definedName>
    <definedName name="kpnsk16" localSheetId="1">#REF!</definedName>
    <definedName name="kpnsk16">#REF!</definedName>
    <definedName name="kpnsk17" localSheetId="1">#REF!</definedName>
    <definedName name="kpnsk17">#REF!</definedName>
    <definedName name="kpnsk18" localSheetId="1">#REF!</definedName>
    <definedName name="kpnsk18">#REF!</definedName>
    <definedName name="kpnsk1a" localSheetId="1">'[14]T2-KPN'!#REF!</definedName>
    <definedName name="kpnsk1a" localSheetId="0">'[14]T2-KPN'!#REF!</definedName>
    <definedName name="kpnsk1a">'[14]T2-KPN'!#REF!</definedName>
    <definedName name="kpnsk2" localSheetId="1">#REF!</definedName>
    <definedName name="kpnsk2">#REF!</definedName>
    <definedName name="kpnsk3" localSheetId="1">#REF!</definedName>
    <definedName name="kpnsk3">#REF!</definedName>
    <definedName name="kpnsk4" localSheetId="1">#REF!</definedName>
    <definedName name="kpnsk4">#REF!</definedName>
    <definedName name="kpnsk4a" localSheetId="1">#REF!</definedName>
    <definedName name="kpnsk4a">#REF!</definedName>
    <definedName name="kpnsk5" localSheetId="1">#REF!</definedName>
    <definedName name="kpnsk5">#REF!</definedName>
    <definedName name="kpnsk6" localSheetId="1">#REF!</definedName>
    <definedName name="kpnsk6">#REF!</definedName>
    <definedName name="kpnsk7" localSheetId="1">#REF!</definedName>
    <definedName name="kpnsk7">#REF!</definedName>
    <definedName name="kpnsk8" localSheetId="1">#REF!</definedName>
    <definedName name="kpnsk8">#REF!</definedName>
    <definedName name="kpnsk9" localSheetId="1">#REF!</definedName>
    <definedName name="kpnsk9">#REF!</definedName>
    <definedName name="ksn" localSheetId="1">'[3]Pr-6'!#REF!</definedName>
    <definedName name="ksn" localSheetId="0">'[3]Pr-6'!#REF!</definedName>
    <definedName name="ksn">'[3]Pr-6'!#REF!</definedName>
    <definedName name="KŠ" localSheetId="1">'[3]Mz01-96'!#REF!</definedName>
    <definedName name="KŠ" localSheetId="0">'[3]Mz01-96'!#REF!</definedName>
    <definedName name="KŠ">'[3]Mz01-96'!#REF!</definedName>
    <definedName name="KZp" localSheetId="1">'[3]vyk95'!#REF!</definedName>
    <definedName name="KZp" localSheetId="0">'[3]vyk95'!#REF!</definedName>
    <definedName name="KZp">'[3]vyk95'!#REF!</definedName>
    <definedName name="kzpn" localSheetId="1">'[3]Pr-6'!#REF!</definedName>
    <definedName name="kzpn" localSheetId="0">'[3]Pr-6'!#REF!</definedName>
    <definedName name="kzpn">'[3]Pr-6'!#REF!</definedName>
    <definedName name="KZs" localSheetId="1">'[3]vyk95'!#REF!</definedName>
    <definedName name="KZs" localSheetId="0">'[3]vyk95'!#REF!</definedName>
    <definedName name="KZs">'[3]vyk95'!#REF!</definedName>
    <definedName name="kzsn" localSheetId="1">'[3]Pr-6'!#REF!</definedName>
    <definedName name="kzsn" localSheetId="0">'[3]Pr-6'!#REF!</definedName>
    <definedName name="kzsn">'[3]Pr-6'!#REF!</definedName>
    <definedName name="m">#REF!</definedName>
    <definedName name="mesia" localSheetId="1">#REF!</definedName>
    <definedName name="mesia">#REF!</definedName>
    <definedName name="mesiac">'[21]P-3'!$N$3</definedName>
    <definedName name="MP98" localSheetId="1">#REF!</definedName>
    <definedName name="MP98">#REF!</definedName>
    <definedName name="mp98n">'[10]VYR99-E'!$AA$47</definedName>
    <definedName name="msr">'[22]priem-12'!$P$62</definedName>
    <definedName name="msrn">#REF!</definedName>
    <definedName name="msrnn">'[23]priem-12-98'!$P$62</definedName>
    <definedName name="msrp">'[22]priem-12'!$S$64</definedName>
    <definedName name="msrpn">#REF!</definedName>
    <definedName name="msrpnn">'[23]priem-12-98'!$S$64</definedName>
    <definedName name="Mzstu">'[3]vyk95'!$AA$49</definedName>
    <definedName name="mzstun">'[3]Pr-6'!$AA$49</definedName>
    <definedName name="_xlnm.Print_Titles" localSheetId="1">'súhrnná po AS'!$1:$4</definedName>
    <definedName name="NPI">'[21]priplatky20'!$B$7</definedName>
    <definedName name="NPII">'[21]priplatky20'!$C$7</definedName>
    <definedName name="_xlnm.Print_Area" localSheetId="1">'súhrnná po AS'!$A$1:$S$137</definedName>
    <definedName name="_xlnm.Print_Area" localSheetId="0">'úpravy'!$A$1:$S$230</definedName>
    <definedName name="otat">'[9]T3-vstupy'!$C$55</definedName>
    <definedName name="ovf">'[24]VVZ-VS97'!$L$3</definedName>
    <definedName name="OVNV">'[24]VVZ-VS97'!$I$105</definedName>
    <definedName name="par18" localSheetId="1">#REF!</definedName>
    <definedName name="par18">#REF!</definedName>
    <definedName name="par1801" localSheetId="1">#REF!</definedName>
    <definedName name="par1801">#REF!</definedName>
    <definedName name="par18n">'[10]VYR99-E'!$AQ$52</definedName>
    <definedName name="Pf" localSheetId="1">'[3]vyk95'!#REF!</definedName>
    <definedName name="Pf" localSheetId="0">'[3]vyk95'!#REF!</definedName>
    <definedName name="Pf">'[3]vyk95'!#REF!</definedName>
    <definedName name="pfn" localSheetId="1">'[3]Pr-6'!#REF!</definedName>
    <definedName name="pfn" localSheetId="0">'[3]Pr-6'!#REF!</definedName>
    <definedName name="pfn">'[3]Pr-6'!#REF!</definedName>
    <definedName name="phdr">'[9]T3-vstupy'!$C$54</definedName>
    <definedName name="pie97" localSheetId="1">#REF!</definedName>
    <definedName name="pie97">#REF!</definedName>
    <definedName name="pie98" localSheetId="1">#REF!</definedName>
    <definedName name="pie98">#REF!</definedName>
    <definedName name="pie99">'[10]VYR99-E'!$AK$45</definedName>
    <definedName name="piest" localSheetId="1">#REF!</definedName>
    <definedName name="piest">#REF!</definedName>
    <definedName name="Posp">'[21]mp0199'!$P$33</definedName>
    <definedName name="Pp02201_mzdy_na_prer_modif">'[18]T3-vstupy'!$C$49</definedName>
    <definedName name="Pp02201_mzdy_vykon">'[18]T3-vstupy'!$C$43</definedName>
    <definedName name="Pp02201_TaS_na_prer_modif" localSheetId="1">'[19]T3-vstupy'!$C$75</definedName>
    <definedName name="Pp02201_TaS_na_prer_modif">'[18]T3-vstupy'!$C$70</definedName>
    <definedName name="Pp02201_TaS_prevadzkovi" localSheetId="1">'[19]T3-vstupy'!$C$64</definedName>
    <definedName name="Pp02201_TaS_prevadzkovi">'[25]T3-vstupy'!$C$64</definedName>
    <definedName name="Pp02201_TaS_vykon" localSheetId="1">'[19]T3-vstupy'!$C$69</definedName>
    <definedName name="Pp02201_TaS_vykon">'[18]T3-vstupy'!$C$64</definedName>
    <definedName name="Pp02201_TaS_zahr_granty" localSheetId="1">'[19]T3-vstupy'!$C$66</definedName>
    <definedName name="Pp02201_TaS_zahr_granty">'[18]T3-vstupy'!$C$60</definedName>
    <definedName name="Pp07701_na_klinic_zamest" localSheetId="1">'[17]T3-vstupy'!#REF!</definedName>
    <definedName name="Pp07701_na_klinic_zamest" localSheetId="0">'[17]T3-vstupy'!#REF!</definedName>
    <definedName name="Pp07701_na_klinic_zamest">'[17]T3-vstupy'!#REF!</definedName>
    <definedName name="pprg_02201_mzdy" localSheetId="1">#REF!</definedName>
    <definedName name="pprg_02201_mzdy">#REF!</definedName>
    <definedName name="pprg_02201_mzdy_koef_GM" localSheetId="1">'[26]T3-vstupy'!$C$21</definedName>
    <definedName name="pprg_02201_mzdy_koef_GM">'[27]T3-vstupy'!$C$21</definedName>
    <definedName name="pprg_02201_mzdy_na_prerozdelovanie" localSheetId="1">#REF!</definedName>
    <definedName name="pprg_02201_mzdy_na_prerozdelovanie">#REF!</definedName>
    <definedName name="pprg_02201_mzdy_prevadzkovi" localSheetId="1">#REF!</definedName>
    <definedName name="pprg_02201_mzdy_prevadzkovi">#REF!</definedName>
    <definedName name="pprg_02201_mzdy_rezerva" localSheetId="1">#REF!</definedName>
    <definedName name="pprg_02201_mzdy_rezerva">#REF!</definedName>
    <definedName name="pprg_02201_mzdy_sucet_narastov_nad_GM" localSheetId="1">#REF!</definedName>
    <definedName name="pprg_02201_mzdy_sucet_narastov_nad_GM">#REF!</definedName>
    <definedName name="pprg_02201_mzdy_vykon" localSheetId="1">#REF!</definedName>
    <definedName name="pprg_02201_mzdy_vykon">#REF!</definedName>
    <definedName name="pprg_02201_mzdy_vykon_zac_roka" localSheetId="1">'[26]T3-vstupy'!$C$16</definedName>
    <definedName name="pprg_02201_mzdy_vykon_zac_roka">'[27]T3-vstupy'!$C$16</definedName>
    <definedName name="Pr0220201_KV_zac_roka" localSheetId="1">'[28]T3-vstupy'!$C$92</definedName>
    <definedName name="Pr0220201_KV_zac_roka">'[17]T3-vstupy'!$C$82</definedName>
    <definedName name="Pr0220201_mzdy_zac_roka">'[17]T3-vstupy'!$C$76</definedName>
    <definedName name="Pr0220201_TaS_zac_roka">'[17]T3-vstupy'!$C$79</definedName>
    <definedName name="Pr2" localSheetId="1">'[3]vyk95'!#REF!</definedName>
    <definedName name="Pr2" localSheetId="0">'[3]vyk95'!#REF!</definedName>
    <definedName name="Pr2">'[3]vyk95'!#REF!</definedName>
    <definedName name="Pr3" localSheetId="1">'[3]vyk95'!#REF!</definedName>
    <definedName name="Pr3" localSheetId="0">'[3]vyk95'!#REF!</definedName>
    <definedName name="Pr3">'[3]vyk95'!#REF!</definedName>
    <definedName name="prie97" localSheetId="1">#REF!</definedName>
    <definedName name="prie97">#REF!</definedName>
    <definedName name="prie97n">'[10]VYR99-E'!$AK$45</definedName>
    <definedName name="prie98" localSheetId="1">#REF!</definedName>
    <definedName name="prie98">#REF!</definedName>
    <definedName name="priem" localSheetId="1">'[3]Pr-6'!#REF!</definedName>
    <definedName name="priem" localSheetId="0">'[3]Pr-6'!#REF!</definedName>
    <definedName name="priem">'[3]Pr-6'!#REF!</definedName>
    <definedName name="priemerny_vykon_VS_podla_KEN" localSheetId="1">'[29]T3-vstupy'!#REF!</definedName>
    <definedName name="priemerny_vykon_VS_podla_KEN" localSheetId="0">'[17]T3-vstupy'!#REF!</definedName>
    <definedName name="priemerny_vykon_VS_podla_KEN">'[17]T3-vstupy'!#REF!</definedName>
    <definedName name="priemerny_vykon_VS_podla_KPN" localSheetId="1">'[29]T3-vstupy'!#REF!</definedName>
    <definedName name="priemerny_vykon_VS_podla_KPN" localSheetId="0">'[17]T3-vstupy'!#REF!</definedName>
    <definedName name="priemerny_vykon_VS_podla_KPN">'[17]T3-vstupy'!#REF!</definedName>
    <definedName name="priest" localSheetId="1">#REF!</definedName>
    <definedName name="priest">#REF!</definedName>
    <definedName name="prisp_na_1_jedlo" localSheetId="1">'[19]T3-vstupy'!$C$105</definedName>
    <definedName name="prisp_na_1_jedlo">'[18]T3-vstupy'!$C$100</definedName>
    <definedName name="prisp_na_ubyt_stud_SD" localSheetId="1">'[19]T3-vstupy'!$C$114</definedName>
    <definedName name="prisp_na_ubyt_stud_SD">'[18]T3-vstupy'!$C$105</definedName>
    <definedName name="prisp_na_ubyt_stud_ZZ" localSheetId="1">'[19]T3-vstupy'!$C$115</definedName>
    <definedName name="prisp_na_ubyt_stud_ZZ">'[18]T3-vstupy'!$C$106</definedName>
    <definedName name="profe">'[9]T3-vstupy'!$C$52</definedName>
    <definedName name="profKKS">'[15]T3-vstupy'!$C$49</definedName>
    <definedName name="Ptz" localSheetId="1">'[3]vyk95'!#REF!</definedName>
    <definedName name="Ptz" localSheetId="0">'[3]vyk95'!#REF!</definedName>
    <definedName name="Ptz">'[3]vyk95'!#REF!</definedName>
    <definedName name="PU_paiDOK2000" localSheetId="1">#REF!</definedName>
    <definedName name="PU_paiDOK2000">#REF!</definedName>
    <definedName name="PU_pD2001_DS_bKA" localSheetId="1">#REF!</definedName>
    <definedName name="PU_pD2001_DS_bKA">#REF!</definedName>
    <definedName name="PU_pP2000_DS_bKA" localSheetId="1">#REF!</definedName>
    <definedName name="PU_pP2000_DS_bKA">#REF!</definedName>
    <definedName name="PU_pP2001_DS_bKA" localSheetId="1">#REF!</definedName>
    <definedName name="PU_pP2001_DS_bKA">#REF!</definedName>
    <definedName name="PU_pP2001_DS_sKA" localSheetId="1">#REF!</definedName>
    <definedName name="PU_pP2001_DS_sKA">#REF!</definedName>
    <definedName name="PU_ppa2000_bDOK" localSheetId="1">#REF!</definedName>
    <definedName name="PU_ppa2000_bDOK">#REF!</definedName>
    <definedName name="PU_pps_bKA" localSheetId="1">#REF!</definedName>
    <definedName name="PU_pps_bKA">#REF!</definedName>
    <definedName name="PU_pps_bKA_bDOK" localSheetId="1">#REF!</definedName>
    <definedName name="PU_pps_bKA_bDOK">#REF!</definedName>
    <definedName name="PU_pps_sKA" localSheetId="1">#REF!</definedName>
    <definedName name="PU_pps_sKA">#REF!</definedName>
    <definedName name="PU_pps_sKA_bDOK" localSheetId="1">#REF!</definedName>
    <definedName name="PU_pps_sKA_bDOK">#REF!</definedName>
    <definedName name="PU_vKEN_aiDOK" localSheetId="1">#REF!</definedName>
    <definedName name="PU_vKEN_aiDOK">#REF!</definedName>
    <definedName name="PU_vKEN_bKA" localSheetId="1">#REF!</definedName>
    <definedName name="PU_vKEN_bKA">#REF!</definedName>
    <definedName name="PU_vKEN_bKA_bDOK" localSheetId="1">#REF!</definedName>
    <definedName name="PU_vKEN_bKA_bDOK">#REF!</definedName>
    <definedName name="PU_vKEN_bKA_PDS" localSheetId="1">#REF!</definedName>
    <definedName name="PU_vKEN_bKA_PDS">#REF!</definedName>
    <definedName name="PU_vKEN_sKA" localSheetId="1">#REF!</definedName>
    <definedName name="PU_vKEN_sKA">#REF!</definedName>
    <definedName name="PU_vKEN_sKA_bDOK" localSheetId="1">#REF!</definedName>
    <definedName name="PU_vKEN_sKA_bDOK">#REF!</definedName>
    <definedName name="PU_vKEN_sKA_PDS" localSheetId="1">#REF!</definedName>
    <definedName name="PU_vKEN_sKA_PDS">#REF!</definedName>
    <definedName name="PU_vKPN_aiDOK" localSheetId="1">#REF!</definedName>
    <definedName name="PU_vKPN_aiDOK">#REF!</definedName>
    <definedName name="PU_vKPN_bKA" localSheetId="1">#REF!</definedName>
    <definedName name="PU_vKPN_bKA">#REF!</definedName>
    <definedName name="PU_vKPN_bKA_bDOK" localSheetId="1">#REF!</definedName>
    <definedName name="PU_vKPN_bKA_bDOK">#REF!</definedName>
    <definedName name="PU_vKPN_bKA_PDS" localSheetId="1">#REF!</definedName>
    <definedName name="PU_vKPN_bKA_PDS">#REF!</definedName>
    <definedName name="PU_vKPN_sKA" localSheetId="1">#REF!</definedName>
    <definedName name="PU_vKPN_sKA">#REF!</definedName>
    <definedName name="PU_vKPN_sKA_bDOK" localSheetId="1">#REF!</definedName>
    <definedName name="PU_vKPN_sKA_bDOK">#REF!</definedName>
    <definedName name="PU_vKPN_sKA_PDS" localSheetId="1">#REF!</definedName>
    <definedName name="PU_vKPN_sKA_PDS">#REF!</definedName>
    <definedName name="PV" localSheetId="1">'[3]Mz01-96'!#REF!</definedName>
    <definedName name="PV" localSheetId="0">'[3]Mz01-96'!#REF!</definedName>
    <definedName name="PV">'[3]Mz01-96'!#REF!</definedName>
    <definedName name="rtz" localSheetId="1">'[4]Pr-6'!#REF!</definedName>
    <definedName name="rtz" localSheetId="0">'[5]Pr-6'!#REF!</definedName>
    <definedName name="rtz">'[5]Pr-6'!#REF!</definedName>
    <definedName name="rtzui" localSheetId="1">'[4]Pr-6'!#REF!</definedName>
    <definedName name="rtzui" localSheetId="0">'[5]Pr-6'!#REF!</definedName>
    <definedName name="rtzui">'[5]Pr-6'!#REF!</definedName>
    <definedName name="SPU_paiDOK2000" localSheetId="1">#REF!</definedName>
    <definedName name="SPU_paiDOK2000">#REF!</definedName>
    <definedName name="SPU_pD2001_DS_bKA" localSheetId="1">#REF!</definedName>
    <definedName name="SPU_pD2001_DS_bKA">#REF!</definedName>
    <definedName name="SPU_pP2000_DS_bKA" localSheetId="1">#REF!</definedName>
    <definedName name="SPU_pP2000_DS_bKA">#REF!</definedName>
    <definedName name="SPU_pP2001_DS_bKA" localSheetId="1">#REF!</definedName>
    <definedName name="SPU_pP2001_DS_bKA">#REF!</definedName>
    <definedName name="SPU_pP2001_DS_sKA" localSheetId="1">#REF!</definedName>
    <definedName name="SPU_pP2001_DS_sKA">#REF!</definedName>
    <definedName name="SPU_ppa2000_bDOK" localSheetId="1">#REF!</definedName>
    <definedName name="SPU_ppa2000_bDOK">#REF!</definedName>
    <definedName name="SPU_pps_bKA" localSheetId="1">#REF!</definedName>
    <definedName name="SPU_pps_bKA">#REF!</definedName>
    <definedName name="SPU_pps_bKA_bDOK" localSheetId="1">#REF!</definedName>
    <definedName name="SPU_pps_bKA_bDOK">#REF!</definedName>
    <definedName name="SPU_pps_sKA" localSheetId="1">#REF!</definedName>
    <definedName name="SPU_pps_sKA">#REF!</definedName>
    <definedName name="SPU_pps_sKA_bDOK" localSheetId="1">#REF!</definedName>
    <definedName name="SPU_pps_sKA_bDOK">#REF!</definedName>
    <definedName name="SPU_vKEN_aiDOK" localSheetId="1">#REF!</definedName>
    <definedName name="SPU_vKEN_aiDOK">#REF!</definedName>
    <definedName name="SPU_vKEN_bKA" localSheetId="1">#REF!</definedName>
    <definedName name="SPU_vKEN_bKA">#REF!</definedName>
    <definedName name="SPU_vKEN_bKA_bDOK" localSheetId="1">#REF!</definedName>
    <definedName name="SPU_vKEN_bKA_bDOK">#REF!</definedName>
    <definedName name="SPU_vKEN_bKA_PDS" localSheetId="1">#REF!</definedName>
    <definedName name="SPU_vKEN_bKA_PDS">#REF!</definedName>
    <definedName name="SPU_vKEN_sKA" localSheetId="1">#REF!</definedName>
    <definedName name="SPU_vKEN_sKA">#REF!</definedName>
    <definedName name="SPU_vKEN_sKA_bDOK" localSheetId="1">#REF!</definedName>
    <definedName name="SPU_vKEN_sKA_bDOK">#REF!</definedName>
    <definedName name="SPU_vKEN_sKA_PDS" localSheetId="1">#REF!</definedName>
    <definedName name="SPU_vKEN_sKA_PDS">#REF!</definedName>
    <definedName name="SPU_vKPN_aiDOK" localSheetId="1">#REF!</definedName>
    <definedName name="SPU_vKPN_aiDOK">#REF!</definedName>
    <definedName name="SPU_vKPN_bKA" localSheetId="1">#REF!</definedName>
    <definedName name="SPU_vKPN_bKA">#REF!</definedName>
    <definedName name="SPU_vKPN_bKA_bDOK" localSheetId="1">#REF!</definedName>
    <definedName name="SPU_vKPN_bKA_bDOK">#REF!</definedName>
    <definedName name="SPU_vKPN_bKA_PDS" localSheetId="1">#REF!</definedName>
    <definedName name="SPU_vKPN_bKA_PDS">#REF!</definedName>
    <definedName name="SPU_vKPN_sKA" localSheetId="1">#REF!</definedName>
    <definedName name="SPU_vKPN_sKA">#REF!</definedName>
    <definedName name="SPU_vKPN_sKA_bDOK" localSheetId="1">#REF!</definedName>
    <definedName name="SPU_vKPN_sKA_bDOK">#REF!</definedName>
    <definedName name="SPU_vKPN_sKA_PDS" localSheetId="1">#REF!</definedName>
    <definedName name="SPU_vKPN_sKA_PDS">#REF!</definedName>
    <definedName name="STU_paiDOK2000" localSheetId="1">#REF!</definedName>
    <definedName name="STU_paiDOK2000">#REF!</definedName>
    <definedName name="STU_pD2001_DS_bKA" localSheetId="1">#REF!</definedName>
    <definedName name="STU_pD2001_DS_bKA">#REF!</definedName>
    <definedName name="STU_pP2000_DS_bKA" localSheetId="1">#REF!</definedName>
    <definedName name="STU_pP2000_DS_bKA">#REF!</definedName>
    <definedName name="STU_pP2001_DS_bKA" localSheetId="1">#REF!</definedName>
    <definedName name="STU_pP2001_DS_bKA">#REF!</definedName>
    <definedName name="STU_pP2001_DS_sKA" localSheetId="1">#REF!</definedName>
    <definedName name="STU_pP2001_DS_sKA">#REF!</definedName>
    <definedName name="STU_ppa2000_bDOK" localSheetId="1">#REF!</definedName>
    <definedName name="STU_ppa2000_bDOK">#REF!</definedName>
    <definedName name="STU_pps_bKA" localSheetId="1">#REF!</definedName>
    <definedName name="STU_pps_bKA">#REF!</definedName>
    <definedName name="STU_pps_bKA_bDOK" localSheetId="1">#REF!</definedName>
    <definedName name="STU_pps_bKA_bDOK">#REF!</definedName>
    <definedName name="STU_pps_sKA" localSheetId="1">#REF!</definedName>
    <definedName name="STU_pps_sKA">#REF!</definedName>
    <definedName name="STU_pps_sKA_bDOK" localSheetId="1">#REF!</definedName>
    <definedName name="STU_pps_sKA_bDOK">#REF!</definedName>
    <definedName name="STU_vKEN_aiDOK" localSheetId="1">#REF!</definedName>
    <definedName name="STU_vKEN_aiDOK">#REF!</definedName>
    <definedName name="STU_vKEN_bKA" localSheetId="1">#REF!</definedName>
    <definedName name="STU_vKEN_bKA">#REF!</definedName>
    <definedName name="STU_vKEN_bKA_bDOK" localSheetId="1">#REF!</definedName>
    <definedName name="STU_vKEN_bKA_bDOK">#REF!</definedName>
    <definedName name="STU_vKEN_bKA_PDS" localSheetId="1">#REF!</definedName>
    <definedName name="STU_vKEN_bKA_PDS">#REF!</definedName>
    <definedName name="STU_vKEN_sKA" localSheetId="1">#REF!</definedName>
    <definedName name="STU_vKEN_sKA">#REF!</definedName>
    <definedName name="STU_vKEN_sKA_bDOK" localSheetId="1">#REF!</definedName>
    <definedName name="STU_vKEN_sKA_bDOK">#REF!</definedName>
    <definedName name="STU_vKEN_sKA_PDS" localSheetId="1">#REF!</definedName>
    <definedName name="STU_vKEN_sKA_PDS">#REF!</definedName>
    <definedName name="STU_vKPN_aiDOK" localSheetId="1">#REF!</definedName>
    <definedName name="STU_vKPN_aiDOK">#REF!</definedName>
    <definedName name="STU_vKPN_bKA" localSheetId="1">#REF!</definedName>
    <definedName name="STU_vKPN_bKA">#REF!</definedName>
    <definedName name="STU_vKPN_bKA_bDOK" localSheetId="1">#REF!</definedName>
    <definedName name="STU_vKPN_bKA_bDOK">#REF!</definedName>
    <definedName name="STU_vKPN_bKA_PDS" localSheetId="1">#REF!</definedName>
    <definedName name="STU_vKPN_bKA_PDS">#REF!</definedName>
    <definedName name="STU_vKPN_sKA" localSheetId="1">#REF!</definedName>
    <definedName name="STU_vKPN_sKA">#REF!</definedName>
    <definedName name="STU_vKPN_sKA_bDOK" localSheetId="1">#REF!</definedName>
    <definedName name="STU_vKPN_sKA_bDOK">#REF!</definedName>
    <definedName name="STU_vKPN_sKA_PDS" localSheetId="1">#REF!</definedName>
    <definedName name="STU_vKPN_sKA_PDS">#REF!</definedName>
    <definedName name="SUMA_paiDOK2000" localSheetId="1">#REF!</definedName>
    <definedName name="SUMA_paiDOK2000">#REF!</definedName>
    <definedName name="SUMA_pD2001_DS_bKA" localSheetId="1">#REF!</definedName>
    <definedName name="SUMA_pD2001_DS_bKA">#REF!</definedName>
    <definedName name="SUMA_pP2000_DS_bKA" localSheetId="1">#REF!</definedName>
    <definedName name="SUMA_pP2000_DS_bKA">#REF!</definedName>
    <definedName name="SUMA_pP2001_DS_bKA" localSheetId="1">#REF!</definedName>
    <definedName name="SUMA_pP2001_DS_bKA">#REF!</definedName>
    <definedName name="SUMA_pP2001_DS_sKA" localSheetId="1">#REF!</definedName>
    <definedName name="SUMA_pP2001_DS_sKA">#REF!</definedName>
    <definedName name="SUMA_ppa2000_bDOK" localSheetId="1">#REF!</definedName>
    <definedName name="SUMA_ppa2000_bDOK">#REF!</definedName>
    <definedName name="SUMA_pps_bKA" localSheetId="1">#REF!</definedName>
    <definedName name="SUMA_pps_bKA">#REF!</definedName>
    <definedName name="SUMA_pps_bKA_bDOK" localSheetId="1">#REF!</definedName>
    <definedName name="SUMA_pps_bKA_bDOK">#REF!</definedName>
    <definedName name="SUMA_pps_sKA" localSheetId="1">#REF!</definedName>
    <definedName name="SUMA_pps_sKA">#REF!</definedName>
    <definedName name="SUMA_pps_sKA_bDOK" localSheetId="1">#REF!</definedName>
    <definedName name="SUMA_pps_sKA_bDOK">#REF!</definedName>
    <definedName name="SUMA_vKEN_aiDOK" localSheetId="1">#REF!</definedName>
    <definedName name="SUMA_vKEN_aiDOK">#REF!</definedName>
    <definedName name="SUMA_vKEN_bKA" localSheetId="1">#REF!</definedName>
    <definedName name="SUMA_vKEN_bKA">#REF!</definedName>
    <definedName name="SUMA_vKEN_bKA_bDOK" localSheetId="1">#REF!</definedName>
    <definedName name="SUMA_vKEN_bKA_bDOK">#REF!</definedName>
    <definedName name="SUMA_vKEN_bKA_PDS" localSheetId="1">#REF!</definedName>
    <definedName name="SUMA_vKEN_bKA_PDS">#REF!</definedName>
    <definedName name="SUMA_vKEN_sKA" localSheetId="1">#REF!</definedName>
    <definedName name="SUMA_vKEN_sKA">#REF!</definedName>
    <definedName name="SUMA_vKEN_sKA_bDOK" localSheetId="1">#REF!</definedName>
    <definedName name="SUMA_vKEN_sKA_bDOK">#REF!</definedName>
    <definedName name="SUMA_vKEN_sKA_PDS" localSheetId="1">#REF!</definedName>
    <definedName name="SUMA_vKEN_sKA_PDS">#REF!</definedName>
    <definedName name="SUMA_vKPN_aiDOK" localSheetId="1">#REF!</definedName>
    <definedName name="SUMA_vKPN_aiDOK">#REF!</definedName>
    <definedName name="SUMA_vKPN_bKA" localSheetId="1">#REF!</definedName>
    <definedName name="SUMA_vKPN_bKA">#REF!</definedName>
    <definedName name="SUMA_vKPN_bKA_bDOK" localSheetId="1">#REF!</definedName>
    <definedName name="SUMA_vKPN_bKA_bDOK">#REF!</definedName>
    <definedName name="SUMA_vKPN_bKA_PDS" localSheetId="1">#REF!</definedName>
    <definedName name="SUMA_vKPN_bKA_PDS">#REF!</definedName>
    <definedName name="SUMA_vKPN_sKA" localSheetId="1">#REF!</definedName>
    <definedName name="SUMA_vKPN_sKA">#REF!</definedName>
    <definedName name="SUMA_vKPN_sKA_bDOK" localSheetId="1">#REF!</definedName>
    <definedName name="SUMA_vKPN_sKA_bDOK">#REF!</definedName>
    <definedName name="SUMA_vKPN_sKA_PDS" localSheetId="1">#REF!</definedName>
    <definedName name="SUMA_vKPN_sKA_PDS">#REF!</definedName>
    <definedName name="TRU_paiDOK2000" localSheetId="1">#REF!</definedName>
    <definedName name="TRU_paiDOK2000">#REF!</definedName>
    <definedName name="TRU_pD2001_DS_bKA" localSheetId="1">#REF!</definedName>
    <definedName name="TRU_pD2001_DS_bKA">#REF!</definedName>
    <definedName name="TRU_pP2000_DS_bKA" localSheetId="1">#REF!</definedName>
    <definedName name="TRU_pP2000_DS_bKA">#REF!</definedName>
    <definedName name="TRU_pP2001_DS_bKA" localSheetId="1">#REF!</definedName>
    <definedName name="TRU_pP2001_DS_bKA">#REF!</definedName>
    <definedName name="TRU_pP2001_DS_sKA" localSheetId="1">#REF!</definedName>
    <definedName name="TRU_pP2001_DS_sKA">#REF!</definedName>
    <definedName name="TRU_ppa2000_bDOK" localSheetId="1">#REF!</definedName>
    <definedName name="TRU_ppa2000_bDOK">#REF!</definedName>
    <definedName name="TRU_pps_bKA" localSheetId="1">#REF!</definedName>
    <definedName name="TRU_pps_bKA">#REF!</definedName>
    <definedName name="TRU_pps_bKA_bDOK" localSheetId="1">#REF!</definedName>
    <definedName name="TRU_pps_bKA_bDOK">#REF!</definedName>
    <definedName name="TRU_pps_sKA" localSheetId="1">#REF!</definedName>
    <definedName name="TRU_pps_sKA">#REF!</definedName>
    <definedName name="TRU_pps_sKA_bDOK" localSheetId="1">#REF!</definedName>
    <definedName name="TRU_pps_sKA_bDOK">#REF!</definedName>
    <definedName name="TRU_vKEN_aiDOK" localSheetId="1">#REF!</definedName>
    <definedName name="TRU_vKEN_aiDOK">#REF!</definedName>
    <definedName name="TRU_vKEN_bKA" localSheetId="1">#REF!</definedName>
    <definedName name="TRU_vKEN_bKA">#REF!</definedName>
    <definedName name="TRU_vKEN_bKA_bDOK" localSheetId="1">#REF!</definedName>
    <definedName name="TRU_vKEN_bKA_bDOK">#REF!</definedName>
    <definedName name="TRU_vKEN_bKA_PDS" localSheetId="1">#REF!</definedName>
    <definedName name="TRU_vKEN_bKA_PDS">#REF!</definedName>
    <definedName name="TRU_vKEN_sKA" localSheetId="1">#REF!</definedName>
    <definedName name="TRU_vKEN_sKA">#REF!</definedName>
    <definedName name="TRU_vKEN_sKA_bDOK" localSheetId="1">#REF!</definedName>
    <definedName name="TRU_vKEN_sKA_bDOK">#REF!</definedName>
    <definedName name="TRU_vKEN_sKA_PDS" localSheetId="1">#REF!</definedName>
    <definedName name="TRU_vKEN_sKA_PDS">#REF!</definedName>
    <definedName name="TRU_vKPN_aiDOK" localSheetId="1">#REF!</definedName>
    <definedName name="TRU_vKPN_aiDOK">#REF!</definedName>
    <definedName name="TRU_vKPN_bKA" localSheetId="1">#REF!</definedName>
    <definedName name="TRU_vKPN_bKA">#REF!</definedName>
    <definedName name="TRU_vKPN_bKA_bDOK" localSheetId="1">#REF!</definedName>
    <definedName name="TRU_vKPN_bKA_bDOK">#REF!</definedName>
    <definedName name="TRU_vKPN_bKA_PDS" localSheetId="1">#REF!</definedName>
    <definedName name="TRU_vKPN_bKA_PDS">#REF!</definedName>
    <definedName name="TRU_vKPN_sKA" localSheetId="1">#REF!</definedName>
    <definedName name="TRU_vKPN_sKA">#REF!</definedName>
    <definedName name="TRU_vKPN_sKA_bDOK" localSheetId="1">#REF!</definedName>
    <definedName name="TRU_vKPN_sKA_bDOK">#REF!</definedName>
    <definedName name="TRU_vKPN_sKA_PDS" localSheetId="1">#REF!</definedName>
    <definedName name="TRU_vKPN_sKA_PDS">#REF!</definedName>
    <definedName name="TUKE_paiDOK2000" localSheetId="1">#REF!</definedName>
    <definedName name="TUKE_paiDOK2000">#REF!</definedName>
    <definedName name="TUKE_pD2001_DS_bKA" localSheetId="1">#REF!</definedName>
    <definedName name="TUKE_pD2001_DS_bKA">#REF!</definedName>
    <definedName name="TUKE_pP2000_DS_bKA" localSheetId="1">#REF!</definedName>
    <definedName name="TUKE_pP2000_DS_bKA">#REF!</definedName>
    <definedName name="TUKE_pP2001_DS_bKA" localSheetId="1">#REF!</definedName>
    <definedName name="TUKE_pP2001_DS_bKA">#REF!</definedName>
    <definedName name="TUKE_pP2001_DS_sKA" localSheetId="1">#REF!</definedName>
    <definedName name="TUKE_pP2001_DS_sKA">#REF!</definedName>
    <definedName name="TUKE_ppa2000_bDOK" localSheetId="1">#REF!</definedName>
    <definedName name="TUKE_ppa2000_bDOK">#REF!</definedName>
    <definedName name="TUKE_pps_bKA" localSheetId="1">#REF!</definedName>
    <definedName name="TUKE_pps_bKA">#REF!</definedName>
    <definedName name="TUKE_pps_bKA_bDOK" localSheetId="1">#REF!</definedName>
    <definedName name="TUKE_pps_bKA_bDOK">#REF!</definedName>
    <definedName name="TUKE_pps_sKA" localSheetId="1">#REF!</definedName>
    <definedName name="TUKE_pps_sKA">#REF!</definedName>
    <definedName name="TUKE_pps_sKA_bDOK" localSheetId="1">#REF!</definedName>
    <definedName name="TUKE_pps_sKA_bDOK">#REF!</definedName>
    <definedName name="TUKE_vKEN_aiDOK" localSheetId="1">#REF!</definedName>
    <definedName name="TUKE_vKEN_aiDOK">#REF!</definedName>
    <definedName name="TUKE_vKEN_bKA" localSheetId="1">#REF!</definedName>
    <definedName name="TUKE_vKEN_bKA">#REF!</definedName>
    <definedName name="TUKE_vKEN_bKA_bDOK" localSheetId="1">#REF!</definedName>
    <definedName name="TUKE_vKEN_bKA_bDOK">#REF!</definedName>
    <definedName name="TUKE_vKEN_bKA_PDS" localSheetId="1">#REF!</definedName>
    <definedName name="TUKE_vKEN_bKA_PDS">#REF!</definedName>
    <definedName name="TUKE_vKEN_sKA" localSheetId="1">#REF!</definedName>
    <definedName name="TUKE_vKEN_sKA">#REF!</definedName>
    <definedName name="TUKE_vKEN_sKA_bDOK" localSheetId="1">#REF!</definedName>
    <definedName name="TUKE_vKEN_sKA_bDOK">#REF!</definedName>
    <definedName name="TUKE_vKEN_sKA_PDS" localSheetId="1">#REF!</definedName>
    <definedName name="TUKE_vKEN_sKA_PDS">#REF!</definedName>
    <definedName name="TUKE_vKPN_aiDOK" localSheetId="1">#REF!</definedName>
    <definedName name="TUKE_vKPN_aiDOK">#REF!</definedName>
    <definedName name="TUKE_vKPN_bKA" localSheetId="1">#REF!</definedName>
    <definedName name="TUKE_vKPN_bKA">#REF!</definedName>
    <definedName name="TUKE_vKPN_bKA_bDOK" localSheetId="1">#REF!</definedName>
    <definedName name="TUKE_vKPN_bKA_bDOK">#REF!</definedName>
    <definedName name="TUKE_vKPN_bKA_PDS" localSheetId="1">#REF!</definedName>
    <definedName name="TUKE_vKPN_bKA_PDS">#REF!</definedName>
    <definedName name="TUKE_vKPN_sKA" localSheetId="1">#REF!</definedName>
    <definedName name="TUKE_vKPN_sKA">#REF!</definedName>
    <definedName name="TUKE_vKPN_sKA_bDOK" localSheetId="1">#REF!</definedName>
    <definedName name="TUKE_vKPN_sKA_bDOK">#REF!</definedName>
    <definedName name="TUKE_vKPN_sKA_PDS" localSheetId="1">#REF!</definedName>
    <definedName name="TUKE_vKPN_sKA_PDS">#REF!</definedName>
    <definedName name="TUZVO_paiDOK2000" localSheetId="1">#REF!</definedName>
    <definedName name="TUZVO_paiDOK2000">#REF!</definedName>
    <definedName name="TUZVO_pD2001_DS_bKA" localSheetId="1">#REF!</definedName>
    <definedName name="TUZVO_pD2001_DS_bKA">#REF!</definedName>
    <definedName name="TUZVO_pP2000_DS_bKA" localSheetId="1">#REF!</definedName>
    <definedName name="TUZVO_pP2000_DS_bKA">#REF!</definedName>
    <definedName name="TUZVO_pP2001_DS_bKA" localSheetId="1">#REF!</definedName>
    <definedName name="TUZVO_pP2001_DS_bKA">#REF!</definedName>
    <definedName name="TUZVO_pP2001_DS_sKA" localSheetId="1">#REF!</definedName>
    <definedName name="TUZVO_pP2001_DS_sKA">#REF!</definedName>
    <definedName name="TUZVO_ppa2000_bDOK" localSheetId="1">#REF!</definedName>
    <definedName name="TUZVO_ppa2000_bDOK">#REF!</definedName>
    <definedName name="TUZVO_pps_bKA" localSheetId="1">#REF!</definedName>
    <definedName name="TUZVO_pps_bKA">#REF!</definedName>
    <definedName name="TUZVO_pps_bKA_bDOK" localSheetId="1">#REF!</definedName>
    <definedName name="TUZVO_pps_bKA_bDOK">#REF!</definedName>
    <definedName name="TUZVO_pps_sKA" localSheetId="1">#REF!</definedName>
    <definedName name="TUZVO_pps_sKA">#REF!</definedName>
    <definedName name="TUZVO_pps_sKA_bDOK" localSheetId="1">#REF!</definedName>
    <definedName name="TUZVO_pps_sKA_bDOK">#REF!</definedName>
    <definedName name="TUZVO_vKEN_aiDOK" localSheetId="1">#REF!</definedName>
    <definedName name="TUZVO_vKEN_aiDOK">#REF!</definedName>
    <definedName name="TUZVO_vKEN_bKA" localSheetId="1">#REF!</definedName>
    <definedName name="TUZVO_vKEN_bKA">#REF!</definedName>
    <definedName name="TUZVO_vKEN_bKA_bDOK" localSheetId="1">#REF!</definedName>
    <definedName name="TUZVO_vKEN_bKA_bDOK">#REF!</definedName>
    <definedName name="TUZVO_vKEN_bKA_PDS" localSheetId="1">#REF!</definedName>
    <definedName name="TUZVO_vKEN_bKA_PDS">#REF!</definedName>
    <definedName name="TUZVO_vKEN_sKA" localSheetId="1">#REF!</definedName>
    <definedName name="TUZVO_vKEN_sKA">#REF!</definedName>
    <definedName name="TUZVO_vKEN_sKA_bDOK" localSheetId="1">#REF!</definedName>
    <definedName name="TUZVO_vKEN_sKA_bDOK">#REF!</definedName>
    <definedName name="TUZVO_vKEN_sKA_PDS" localSheetId="1">#REF!</definedName>
    <definedName name="TUZVO_vKEN_sKA_PDS">#REF!</definedName>
    <definedName name="TUZVO_vKPN_aiDOK" localSheetId="1">#REF!</definedName>
    <definedName name="TUZVO_vKPN_aiDOK">#REF!</definedName>
    <definedName name="TUZVO_vKPN_bKA" localSheetId="1">#REF!</definedName>
    <definedName name="TUZVO_vKPN_bKA">#REF!</definedName>
    <definedName name="TUZVO_vKPN_bKA_bDOK" localSheetId="1">#REF!</definedName>
    <definedName name="TUZVO_vKPN_bKA_bDOK">#REF!</definedName>
    <definedName name="TUZVO_vKPN_bKA_PDS" localSheetId="1">#REF!</definedName>
    <definedName name="TUZVO_vKPN_bKA_PDS">#REF!</definedName>
    <definedName name="TUZVO_vKPN_sKA" localSheetId="1">#REF!</definedName>
    <definedName name="TUZVO_vKPN_sKA">#REF!</definedName>
    <definedName name="TUZVO_vKPN_sKA_bDOK" localSheetId="1">#REF!</definedName>
    <definedName name="TUZVO_vKPN_sKA_bDOK">#REF!</definedName>
    <definedName name="TUZVO_vKPN_sKA_PDS" localSheetId="1">#REF!</definedName>
    <definedName name="TUZVO_vKPN_sKA_PDS">#REF!</definedName>
    <definedName name="TVU_paiDOK2000" localSheetId="1">#REF!</definedName>
    <definedName name="TVU_paiDOK2000">#REF!</definedName>
    <definedName name="TVU_pD2001_DS_bKA" localSheetId="1">#REF!</definedName>
    <definedName name="TVU_pD2001_DS_bKA">#REF!</definedName>
    <definedName name="TVU_pP2000_DS_bKA" localSheetId="1">#REF!</definedName>
    <definedName name="TVU_pP2000_DS_bKA">#REF!</definedName>
    <definedName name="TVU_pP2001_DS_bKA" localSheetId="1">#REF!</definedName>
    <definedName name="TVU_pP2001_DS_bKA">#REF!</definedName>
    <definedName name="TVU_pP2001_DS_sKA" localSheetId="1">#REF!</definedName>
    <definedName name="TVU_pP2001_DS_sKA">#REF!</definedName>
    <definedName name="TVU_ppa2000_bDOK" localSheetId="1">#REF!</definedName>
    <definedName name="TVU_ppa2000_bDOK">#REF!</definedName>
    <definedName name="TVU_pps_bKA" localSheetId="1">#REF!</definedName>
    <definedName name="TVU_pps_bKA">#REF!</definedName>
    <definedName name="TVU_pps_bKA_bDOK" localSheetId="1">#REF!</definedName>
    <definedName name="TVU_pps_bKA_bDOK">#REF!</definedName>
    <definedName name="TVU_pps_sKA" localSheetId="1">#REF!</definedName>
    <definedName name="TVU_pps_sKA">#REF!</definedName>
    <definedName name="TVU_pps_sKA_bDOK" localSheetId="1">#REF!</definedName>
    <definedName name="TVU_pps_sKA_bDOK">#REF!</definedName>
    <definedName name="TVU_vKEN_aiDOK" localSheetId="1">#REF!</definedName>
    <definedName name="TVU_vKEN_aiDOK">#REF!</definedName>
    <definedName name="TVU_vKEN_bKA" localSheetId="1">#REF!</definedName>
    <definedName name="TVU_vKEN_bKA">#REF!</definedName>
    <definedName name="TVU_vKEN_bKA_bDOK" localSheetId="1">#REF!</definedName>
    <definedName name="TVU_vKEN_bKA_bDOK">#REF!</definedName>
    <definedName name="TVU_vKEN_bKA_PDS" localSheetId="1">#REF!</definedName>
    <definedName name="TVU_vKEN_bKA_PDS">#REF!</definedName>
    <definedName name="TVU_vKEN_sKA" localSheetId="1">#REF!</definedName>
    <definedName name="TVU_vKEN_sKA">#REF!</definedName>
    <definedName name="TVU_vKEN_sKA_bDOK" localSheetId="1">#REF!</definedName>
    <definedName name="TVU_vKEN_sKA_bDOK">#REF!</definedName>
    <definedName name="TVU_vKEN_sKA_PDS" localSheetId="1">#REF!</definedName>
    <definedName name="TVU_vKEN_sKA_PDS">#REF!</definedName>
    <definedName name="TVU_vKPN_aiDOK" localSheetId="1">#REF!</definedName>
    <definedName name="TVU_vKPN_aiDOK">#REF!</definedName>
    <definedName name="TVU_vKPN_bKA" localSheetId="1">#REF!</definedName>
    <definedName name="TVU_vKPN_bKA">#REF!</definedName>
    <definedName name="TVU_vKPN_bKA_bDOK" localSheetId="1">#REF!</definedName>
    <definedName name="TVU_vKPN_bKA_bDOK">#REF!</definedName>
    <definedName name="TVU_vKPN_bKA_PDS" localSheetId="1">#REF!</definedName>
    <definedName name="TVU_vKPN_bKA_PDS">#REF!</definedName>
    <definedName name="TVU_vKPN_sKA" localSheetId="1">#REF!</definedName>
    <definedName name="TVU_vKPN_sKA">#REF!</definedName>
    <definedName name="TVU_vKPN_sKA_bDOK" localSheetId="1">#REF!</definedName>
    <definedName name="TVU_vKPN_sKA_bDOK">#REF!</definedName>
    <definedName name="TVU_vKPN_sKA_PDS" localSheetId="1">#REF!</definedName>
    <definedName name="TVU_vKPN_sKA_PDS">#REF!</definedName>
    <definedName name="Ua">#REF!</definedName>
    <definedName name="Uc">#REF!</definedName>
    <definedName name="UCM_paiDOK2000" localSheetId="1">#REF!</definedName>
    <definedName name="UCM_paiDOK2000">#REF!</definedName>
    <definedName name="UCM_pD2001_DS_bKA" localSheetId="1">#REF!</definedName>
    <definedName name="UCM_pD2001_DS_bKA">#REF!</definedName>
    <definedName name="UCM_pP2000_DS_bKA" localSheetId="1">#REF!</definedName>
    <definedName name="UCM_pP2000_DS_bKA">#REF!</definedName>
    <definedName name="UCM_pP2001_DS_bKA" localSheetId="1">#REF!</definedName>
    <definedName name="UCM_pP2001_DS_bKA">#REF!</definedName>
    <definedName name="UCM_pP2001_DS_sKA" localSheetId="1">#REF!</definedName>
    <definedName name="UCM_pP2001_DS_sKA">#REF!</definedName>
    <definedName name="UCM_ppa2000_bDOK" localSheetId="1">#REF!</definedName>
    <definedName name="UCM_ppa2000_bDOK">#REF!</definedName>
    <definedName name="UCM_pps_bKA" localSheetId="1">#REF!</definedName>
    <definedName name="UCM_pps_bKA">#REF!</definedName>
    <definedName name="UCM_pps_bKA_bDOK" localSheetId="1">#REF!</definedName>
    <definedName name="UCM_pps_bKA_bDOK">#REF!</definedName>
    <definedName name="UCM_pps_sKA" localSheetId="1">#REF!</definedName>
    <definedName name="UCM_pps_sKA">#REF!</definedName>
    <definedName name="UCM_pps_sKA_bDOK" localSheetId="1">#REF!</definedName>
    <definedName name="UCM_pps_sKA_bDOK">#REF!</definedName>
    <definedName name="UCM_vKEN_aiDOK" localSheetId="1">#REF!</definedName>
    <definedName name="UCM_vKEN_aiDOK">#REF!</definedName>
    <definedName name="UCM_vKEN_bKA" localSheetId="1">#REF!</definedName>
    <definedName name="UCM_vKEN_bKA">#REF!</definedName>
    <definedName name="UCM_vKEN_bKA_bDOK" localSheetId="1">#REF!</definedName>
    <definedName name="UCM_vKEN_bKA_bDOK">#REF!</definedName>
    <definedName name="UCM_vKEN_bKA_PDS" localSheetId="1">#REF!</definedName>
    <definedName name="UCM_vKEN_bKA_PDS">#REF!</definedName>
    <definedName name="UCM_vKEN_sKA" localSheetId="1">#REF!</definedName>
    <definedName name="UCM_vKEN_sKA">#REF!</definedName>
    <definedName name="UCM_vKEN_sKA_bDOK" localSheetId="1">#REF!</definedName>
    <definedName name="UCM_vKEN_sKA_bDOK">#REF!</definedName>
    <definedName name="UCM_vKEN_sKA_PDS" localSheetId="1">#REF!</definedName>
    <definedName name="UCM_vKEN_sKA_PDS">#REF!</definedName>
    <definedName name="UCM_vKPN_aiDOK" localSheetId="1">#REF!</definedName>
    <definedName name="UCM_vKPN_aiDOK">#REF!</definedName>
    <definedName name="UCM_vKPN_bKA" localSheetId="1">#REF!</definedName>
    <definedName name="UCM_vKPN_bKA">#REF!</definedName>
    <definedName name="UCM_vKPN_bKA_bDOK" localSheetId="1">#REF!</definedName>
    <definedName name="UCM_vKPN_bKA_bDOK">#REF!</definedName>
    <definedName name="UCM_vKPN_bKA_PDS" localSheetId="1">#REF!</definedName>
    <definedName name="UCM_vKPN_bKA_PDS">#REF!</definedName>
    <definedName name="UCM_vKPN_sKA" localSheetId="1">#REF!</definedName>
    <definedName name="UCM_vKPN_sKA">#REF!</definedName>
    <definedName name="UCM_vKPN_sKA_bDOK" localSheetId="1">#REF!</definedName>
    <definedName name="UCM_vKPN_sKA_bDOK">#REF!</definedName>
    <definedName name="UCM_vKPN_sKA_PDS" localSheetId="1">#REF!</definedName>
    <definedName name="UCM_vKPN_sKA_PDS">#REF!</definedName>
    <definedName name="Ue">#REF!</definedName>
    <definedName name="Uj">#REF!</definedName>
    <definedName name="UK_paiDOK2000" localSheetId="1">#REF!</definedName>
    <definedName name="UK_paiDOK2000">#REF!</definedName>
    <definedName name="UK_pD2001_DS_bKA" localSheetId="1">#REF!</definedName>
    <definedName name="UK_pD2001_DS_bKA">#REF!</definedName>
    <definedName name="UK_pP2000_DS_bKA" localSheetId="1">#REF!</definedName>
    <definedName name="UK_pP2000_DS_bKA">#REF!</definedName>
    <definedName name="UK_pP2001_DS_bKA" localSheetId="1">#REF!</definedName>
    <definedName name="UK_pP2001_DS_bKA">#REF!</definedName>
    <definedName name="UK_pP2001_DS_sKA" localSheetId="1">#REF!</definedName>
    <definedName name="UK_pP2001_DS_sKA">#REF!</definedName>
    <definedName name="UK_ppa2000_bDOK" localSheetId="1">#REF!</definedName>
    <definedName name="UK_ppa2000_bDOK">#REF!</definedName>
    <definedName name="UK_pps_bKA" localSheetId="1">#REF!</definedName>
    <definedName name="UK_pps_bKA">#REF!</definedName>
    <definedName name="UK_pps_bKA_bDOK" localSheetId="1">#REF!</definedName>
    <definedName name="UK_pps_bKA_bDOK">#REF!</definedName>
    <definedName name="UK_pps_sKA" localSheetId="1">#REF!</definedName>
    <definedName name="UK_pps_sKA">#REF!</definedName>
    <definedName name="UK_pps_sKA_bDOK" localSheetId="1">#REF!</definedName>
    <definedName name="UK_pps_sKA_bDOK">#REF!</definedName>
    <definedName name="UK_vKEN_aiDOK" localSheetId="1">#REF!</definedName>
    <definedName name="UK_vKEN_aiDOK">#REF!</definedName>
    <definedName name="UK_vKEN_bKA" localSheetId="1">#REF!</definedName>
    <definedName name="UK_vKEN_bKA">#REF!</definedName>
    <definedName name="UK_vKEN_bKA_bDOK" localSheetId="1">#REF!</definedName>
    <definedName name="UK_vKEN_bKA_bDOK">#REF!</definedName>
    <definedName name="UK_vKEN_bKA_PDS" localSheetId="1">#REF!</definedName>
    <definedName name="UK_vKEN_bKA_PDS">#REF!</definedName>
    <definedName name="UK_vKEN_sKA" localSheetId="1">#REF!</definedName>
    <definedName name="UK_vKEN_sKA">#REF!</definedName>
    <definedName name="UK_vKEN_sKA_bDOK" localSheetId="1">#REF!</definedName>
    <definedName name="UK_vKEN_sKA_bDOK">#REF!</definedName>
    <definedName name="UK_vKEN_sKA_PDS" localSheetId="1">#REF!</definedName>
    <definedName name="UK_vKEN_sKA_PDS">#REF!</definedName>
    <definedName name="UK_vKPN_aiDOK" localSheetId="1">#REF!</definedName>
    <definedName name="UK_vKPN_aiDOK">#REF!</definedName>
    <definedName name="UK_vKPN_bKA" localSheetId="1">#REF!</definedName>
    <definedName name="UK_vKPN_bKA">#REF!</definedName>
    <definedName name="UK_vKPN_bKA_bDOK" localSheetId="1">#REF!</definedName>
    <definedName name="UK_vKPN_bKA_bDOK">#REF!</definedName>
    <definedName name="UK_vKPN_bKA_PDS" localSheetId="1">#REF!</definedName>
    <definedName name="UK_vKPN_bKA_PDS">#REF!</definedName>
    <definedName name="UK_vKPN_sKA" localSheetId="1">#REF!</definedName>
    <definedName name="UK_vKPN_sKA">#REF!</definedName>
    <definedName name="UK_vKPN_sKA_bDOK" localSheetId="1">#REF!</definedName>
    <definedName name="UK_vKPN_sKA_bDOK">#REF!</definedName>
    <definedName name="UK_vKPN_sKA_PDS" localSheetId="1">#REF!</definedName>
    <definedName name="UK_vKPN_sKA_PDS">#REF!</definedName>
    <definedName name="UKF_paiDOK2000" localSheetId="1">#REF!</definedName>
    <definedName name="UKF_paiDOK2000">#REF!</definedName>
    <definedName name="UKF_pD2001_DS_bKA" localSheetId="1">#REF!</definedName>
    <definedName name="UKF_pD2001_DS_bKA">#REF!</definedName>
    <definedName name="UKF_pP2000_DS_bKA" localSheetId="1">#REF!</definedName>
    <definedName name="UKF_pP2000_DS_bKA">#REF!</definedName>
    <definedName name="UKF_pP2001_DS_bKA" localSheetId="1">#REF!</definedName>
    <definedName name="UKF_pP2001_DS_bKA">#REF!</definedName>
    <definedName name="UKF_pP2001_DS_sKA" localSheetId="1">#REF!</definedName>
    <definedName name="UKF_pP2001_DS_sKA">#REF!</definedName>
    <definedName name="UKF_ppa2000_bDOK" localSheetId="1">#REF!</definedName>
    <definedName name="UKF_ppa2000_bDOK">#REF!</definedName>
    <definedName name="UKF_pps_bKA" localSheetId="1">#REF!</definedName>
    <definedName name="UKF_pps_bKA">#REF!</definedName>
    <definedName name="UKF_pps_bKA_bDOK" localSheetId="1">#REF!</definedName>
    <definedName name="UKF_pps_bKA_bDOK">#REF!</definedName>
    <definedName name="UKF_pps_sKA" localSheetId="1">#REF!</definedName>
    <definedName name="UKF_pps_sKA">#REF!</definedName>
    <definedName name="UKF_pps_sKA_bDOK" localSheetId="1">#REF!</definedName>
    <definedName name="UKF_pps_sKA_bDOK">#REF!</definedName>
    <definedName name="UKF_vKEN_aiDOK" localSheetId="1">#REF!</definedName>
    <definedName name="UKF_vKEN_aiDOK">#REF!</definedName>
    <definedName name="UKF_vKEN_bKA" localSheetId="1">#REF!</definedName>
    <definedName name="UKF_vKEN_bKA">#REF!</definedName>
    <definedName name="UKF_vKEN_bKA_bDOK" localSheetId="1">#REF!</definedName>
    <definedName name="UKF_vKEN_bKA_bDOK">#REF!</definedName>
    <definedName name="UKF_vKEN_bKA_PDS" localSheetId="1">#REF!</definedName>
    <definedName name="UKF_vKEN_bKA_PDS">#REF!</definedName>
    <definedName name="UKF_vKEN_sKA" localSheetId="1">#REF!</definedName>
    <definedName name="UKF_vKEN_sKA">#REF!</definedName>
    <definedName name="UKF_vKEN_sKA_bDOK" localSheetId="1">#REF!</definedName>
    <definedName name="UKF_vKEN_sKA_bDOK">#REF!</definedName>
    <definedName name="UKF_vKEN_sKA_PDS" localSheetId="1">#REF!</definedName>
    <definedName name="UKF_vKEN_sKA_PDS">#REF!</definedName>
    <definedName name="UKF_vKPN_aiDOK" localSheetId="1">#REF!</definedName>
    <definedName name="UKF_vKPN_aiDOK">#REF!</definedName>
    <definedName name="UKF_vKPN_bKA" localSheetId="1">#REF!</definedName>
    <definedName name="UKF_vKPN_bKA">#REF!</definedName>
    <definedName name="UKF_vKPN_bKA_bDOK" localSheetId="1">#REF!</definedName>
    <definedName name="UKF_vKPN_bKA_bDOK">#REF!</definedName>
    <definedName name="UKF_vKPN_bKA_PDS" localSheetId="1">#REF!</definedName>
    <definedName name="UKF_vKPN_bKA_PDS">#REF!</definedName>
    <definedName name="UKF_vKPN_sKA" localSheetId="1">#REF!</definedName>
    <definedName name="UKF_vKPN_sKA">#REF!</definedName>
    <definedName name="UKF_vKPN_sKA_bDOK" localSheetId="1">#REF!</definedName>
    <definedName name="UKF_vKPN_sKA_bDOK">#REF!</definedName>
    <definedName name="UKF_vKPN_sKA_PDS" localSheetId="1">#REF!</definedName>
    <definedName name="UKF_vKPN_sKA_PDS">#REF!</definedName>
    <definedName name="Um">#REF!</definedName>
    <definedName name="UMB_paiDOK2000" localSheetId="1">#REF!</definedName>
    <definedName name="UMB_paiDOK2000">#REF!</definedName>
    <definedName name="UMB_pD2001_DS_bKA" localSheetId="1">#REF!</definedName>
    <definedName name="UMB_pD2001_DS_bKA">#REF!</definedName>
    <definedName name="UMB_pP2000_DS_bKA" localSheetId="1">#REF!</definedName>
    <definedName name="UMB_pP2000_DS_bKA">#REF!</definedName>
    <definedName name="UMB_pP2001_DS_bKA" localSheetId="1">#REF!</definedName>
    <definedName name="UMB_pP2001_DS_bKA">#REF!</definedName>
    <definedName name="UMB_pP2001_DS_sKA" localSheetId="1">#REF!</definedName>
    <definedName name="UMB_pP2001_DS_sKA">#REF!</definedName>
    <definedName name="UMB_ppa2000_bDOK" localSheetId="1">#REF!</definedName>
    <definedName name="UMB_ppa2000_bDOK">#REF!</definedName>
    <definedName name="UMB_pps_bKA" localSheetId="1">#REF!</definedName>
    <definedName name="UMB_pps_bKA">#REF!</definedName>
    <definedName name="UMB_pps_bKA_bDOK" localSheetId="1">#REF!</definedName>
    <definedName name="UMB_pps_bKA_bDOK">#REF!</definedName>
    <definedName name="UMB_pps_sKA" localSheetId="1">#REF!</definedName>
    <definedName name="UMB_pps_sKA">#REF!</definedName>
    <definedName name="UMB_pps_sKA_bDOK" localSheetId="1">#REF!</definedName>
    <definedName name="UMB_pps_sKA_bDOK">#REF!</definedName>
    <definedName name="UMB_vKEN_aiDOK" localSheetId="1">#REF!</definedName>
    <definedName name="UMB_vKEN_aiDOK">#REF!</definedName>
    <definedName name="UMB_vKEN_bKA" localSheetId="1">#REF!</definedName>
    <definedName name="UMB_vKEN_bKA">#REF!</definedName>
    <definedName name="UMB_vKEN_bKA_bDOK" localSheetId="1">#REF!</definedName>
    <definedName name="UMB_vKEN_bKA_bDOK">#REF!</definedName>
    <definedName name="UMB_vKEN_bKA_PDS" localSheetId="1">#REF!</definedName>
    <definedName name="UMB_vKEN_bKA_PDS">#REF!</definedName>
    <definedName name="UMB_vKEN_sKA" localSheetId="1">#REF!</definedName>
    <definedName name="UMB_vKEN_sKA">#REF!</definedName>
    <definedName name="UMB_vKEN_sKA_bDOK" localSheetId="1">#REF!</definedName>
    <definedName name="UMB_vKEN_sKA_bDOK">#REF!</definedName>
    <definedName name="UMB_vKEN_sKA_PDS" localSheetId="1">#REF!</definedName>
    <definedName name="UMB_vKEN_sKA_PDS">#REF!</definedName>
    <definedName name="UMB_vKPN_aiDOK" localSheetId="1">#REF!</definedName>
    <definedName name="UMB_vKPN_aiDOK">#REF!</definedName>
    <definedName name="UMB_vKPN_bKA" localSheetId="1">#REF!</definedName>
    <definedName name="UMB_vKPN_bKA">#REF!</definedName>
    <definedName name="UMB_vKPN_bKA_bDOK" localSheetId="1">#REF!</definedName>
    <definedName name="UMB_vKPN_bKA_bDOK">#REF!</definedName>
    <definedName name="UMB_vKPN_bKA_PDS" localSheetId="1">#REF!</definedName>
    <definedName name="UMB_vKPN_bKA_PDS">#REF!</definedName>
    <definedName name="UMB_vKPN_sKA" localSheetId="1">#REF!</definedName>
    <definedName name="UMB_vKPN_sKA">#REF!</definedName>
    <definedName name="UMB_vKPN_sKA_bDOK" localSheetId="1">#REF!</definedName>
    <definedName name="UMB_vKPN_sKA_bDOK">#REF!</definedName>
    <definedName name="UMB_vKPN_sKA_PDS" localSheetId="1">#REF!</definedName>
    <definedName name="UMB_vKPN_sKA_PDS">#REF!</definedName>
    <definedName name="UPJS_paiDOK2000" localSheetId="1">#REF!</definedName>
    <definedName name="UPJS_paiDOK2000">#REF!</definedName>
    <definedName name="UPJS_pD2001_DS_bKA" localSheetId="1">#REF!</definedName>
    <definedName name="UPJS_pD2001_DS_bKA">#REF!</definedName>
    <definedName name="UPJS_pP2000_DS_bKA" localSheetId="1">#REF!</definedName>
    <definedName name="UPJS_pP2000_DS_bKA">#REF!</definedName>
    <definedName name="UPJS_pP2001_DS_bKA" localSheetId="1">#REF!</definedName>
    <definedName name="UPJS_pP2001_DS_bKA">#REF!</definedName>
    <definedName name="UPJS_pP2001_DS_sKA" localSheetId="1">#REF!</definedName>
    <definedName name="UPJS_pP2001_DS_sKA">#REF!</definedName>
    <definedName name="UPJS_ppa2000_bDOK" localSheetId="1">#REF!</definedName>
    <definedName name="UPJS_ppa2000_bDOK">#REF!</definedName>
    <definedName name="UPJS_pps_bKA" localSheetId="1">#REF!</definedName>
    <definedName name="UPJS_pps_bKA">#REF!</definedName>
    <definedName name="UPJS_pps_bKA_bDOK" localSheetId="1">#REF!</definedName>
    <definedName name="UPJS_pps_bKA_bDOK">#REF!</definedName>
    <definedName name="UPJS_pps_sKA" localSheetId="1">#REF!</definedName>
    <definedName name="UPJS_pps_sKA">#REF!</definedName>
    <definedName name="UPJS_pps_sKA_bDOK" localSheetId="1">#REF!</definedName>
    <definedName name="UPJS_pps_sKA_bDOK">#REF!</definedName>
    <definedName name="UPJS_vKEN_aiDOK" localSheetId="1">#REF!</definedName>
    <definedName name="UPJS_vKEN_aiDOK">#REF!</definedName>
    <definedName name="UPJS_vKEN_bKA" localSheetId="1">#REF!</definedName>
    <definedName name="UPJS_vKEN_bKA">#REF!</definedName>
    <definedName name="UPJS_vKEN_bKA_bDOK" localSheetId="1">#REF!</definedName>
    <definedName name="UPJS_vKEN_bKA_bDOK">#REF!</definedName>
    <definedName name="UPJS_vKEN_bKA_PDS" localSheetId="1">#REF!</definedName>
    <definedName name="UPJS_vKEN_bKA_PDS">#REF!</definedName>
    <definedName name="UPJS_vKEN_sKA" localSheetId="1">#REF!</definedName>
    <definedName name="UPJS_vKEN_sKA">#REF!</definedName>
    <definedName name="UPJS_vKEN_sKA_bDOK" localSheetId="1">#REF!</definedName>
    <definedName name="UPJS_vKEN_sKA_bDOK">#REF!</definedName>
    <definedName name="UPJS_vKEN_sKA_PDS" localSheetId="1">#REF!</definedName>
    <definedName name="UPJS_vKEN_sKA_PDS">#REF!</definedName>
    <definedName name="UPJS_vKPN_aiDOK" localSheetId="1">#REF!</definedName>
    <definedName name="UPJS_vKPN_aiDOK">#REF!</definedName>
    <definedName name="UPJS_vKPN_bKA" localSheetId="1">#REF!</definedName>
    <definedName name="UPJS_vKPN_bKA">#REF!</definedName>
    <definedName name="UPJS_vKPN_bKA_bDOK" localSheetId="1">#REF!</definedName>
    <definedName name="UPJS_vKPN_bKA_bDOK">#REF!</definedName>
    <definedName name="UPJS_vKPN_bKA_PDS" localSheetId="1">#REF!</definedName>
    <definedName name="UPJS_vKPN_bKA_PDS">#REF!</definedName>
    <definedName name="UPJS_vKPN_sKA" localSheetId="1">#REF!</definedName>
    <definedName name="UPJS_vKPN_sKA">#REF!</definedName>
    <definedName name="UPJS_vKPN_sKA_bDOK" localSheetId="1">#REF!</definedName>
    <definedName name="UPJS_vKPN_sKA_bDOK">#REF!</definedName>
    <definedName name="UPJS_vKPN_sKA_PDS" localSheetId="1">#REF!</definedName>
    <definedName name="UPJS_vKPN_sKA_PDS">#REF!</definedName>
    <definedName name="Uv">#REF!</definedName>
    <definedName name="UVL_paiDOK2000" localSheetId="1">#REF!</definedName>
    <definedName name="UVL_paiDOK2000">#REF!</definedName>
    <definedName name="UVL_pD2001_DS_bKA" localSheetId="1">#REF!</definedName>
    <definedName name="UVL_pD2001_DS_bKA">#REF!</definedName>
    <definedName name="UVL_pP2000_DS_bKA" localSheetId="1">#REF!</definedName>
    <definedName name="UVL_pP2000_DS_bKA">#REF!</definedName>
    <definedName name="UVL_pP2001_DS_bKA" localSheetId="1">#REF!</definedName>
    <definedName name="UVL_pP2001_DS_bKA">#REF!</definedName>
    <definedName name="UVL_pP2001_DS_sKA" localSheetId="1">#REF!</definedName>
    <definedName name="UVL_pP2001_DS_sKA">#REF!</definedName>
    <definedName name="UVL_ppa2000_bDOK" localSheetId="1">#REF!</definedName>
    <definedName name="UVL_ppa2000_bDOK">#REF!</definedName>
    <definedName name="UVL_pps_bKA" localSheetId="1">#REF!</definedName>
    <definedName name="UVL_pps_bKA">#REF!</definedName>
    <definedName name="UVL_pps_bKA_bDOK" localSheetId="1">#REF!</definedName>
    <definedName name="UVL_pps_bKA_bDOK">#REF!</definedName>
    <definedName name="UVL_pps_sKA" localSheetId="1">#REF!</definedName>
    <definedName name="UVL_pps_sKA">#REF!</definedName>
    <definedName name="UVL_pps_sKA_bDOK" localSheetId="1">#REF!</definedName>
    <definedName name="UVL_pps_sKA_bDOK">#REF!</definedName>
    <definedName name="UVL_vKEN_aiDOK" localSheetId="1">#REF!</definedName>
    <definedName name="UVL_vKEN_aiDOK">#REF!</definedName>
    <definedName name="UVL_vKEN_bKA" localSheetId="1">#REF!</definedName>
    <definedName name="UVL_vKEN_bKA">#REF!</definedName>
    <definedName name="UVL_vKEN_bKA_bDOK" localSheetId="1">#REF!</definedName>
    <definedName name="UVL_vKEN_bKA_bDOK">#REF!</definedName>
    <definedName name="UVL_vKEN_bKA_PDS" localSheetId="1">#REF!</definedName>
    <definedName name="UVL_vKEN_bKA_PDS">#REF!</definedName>
    <definedName name="UVL_vKEN_sKA" localSheetId="1">#REF!</definedName>
    <definedName name="UVL_vKEN_sKA">#REF!</definedName>
    <definedName name="UVL_vKEN_sKA_bDOK" localSheetId="1">#REF!</definedName>
    <definedName name="UVL_vKEN_sKA_bDOK">#REF!</definedName>
    <definedName name="UVL_vKEN_sKA_PDS" localSheetId="1">#REF!</definedName>
    <definedName name="UVL_vKEN_sKA_PDS">#REF!</definedName>
    <definedName name="UVL_vKPN_aiDOK" localSheetId="1">#REF!</definedName>
    <definedName name="UVL_vKPN_aiDOK">#REF!</definedName>
    <definedName name="UVL_vKPN_bKA" localSheetId="1">#REF!</definedName>
    <definedName name="UVL_vKPN_bKA">#REF!</definedName>
    <definedName name="UVL_vKPN_bKA_bDOK" localSheetId="1">#REF!</definedName>
    <definedName name="UVL_vKPN_bKA_bDOK">#REF!</definedName>
    <definedName name="UVL_vKPN_bKA_PDS" localSheetId="1">#REF!</definedName>
    <definedName name="UVL_vKPN_bKA_PDS">#REF!</definedName>
    <definedName name="UVL_vKPN_sKA" localSheetId="1">#REF!</definedName>
    <definedName name="UVL_vKPN_sKA">#REF!</definedName>
    <definedName name="UVL_vKPN_sKA_bDOK" localSheetId="1">#REF!</definedName>
    <definedName name="UVL_vKPN_sKA_bDOK">#REF!</definedName>
    <definedName name="UVL_vKPN_sKA_PDS" localSheetId="1">#REF!</definedName>
    <definedName name="UVL_vKPN_sKA_PDS">#REF!</definedName>
    <definedName name="vbn" localSheetId="1">'[4]Pr-6'!#REF!</definedName>
    <definedName name="vbn" localSheetId="0">'[5]Pr-6'!#REF!</definedName>
    <definedName name="vbn">'[5]Pr-6'!#REF!</definedName>
    <definedName name="VSMU_paiDOK2000" localSheetId="1">#REF!</definedName>
    <definedName name="VSMU_paiDOK2000">#REF!</definedName>
    <definedName name="VSMU_pD2001_DS_bKA" localSheetId="1">#REF!</definedName>
    <definedName name="VSMU_pD2001_DS_bKA">#REF!</definedName>
    <definedName name="VSMU_pP2000_DS_bKA" localSheetId="1">#REF!</definedName>
    <definedName name="VSMU_pP2000_DS_bKA">#REF!</definedName>
    <definedName name="VSMU_pP2001_DS_bKA" localSheetId="1">#REF!</definedName>
    <definedName name="VSMU_pP2001_DS_bKA">#REF!</definedName>
    <definedName name="VSMU_pP2001_DS_sKA" localSheetId="1">#REF!</definedName>
    <definedName name="VSMU_pP2001_DS_sKA">#REF!</definedName>
    <definedName name="VSMU_ppa2000_bDOK" localSheetId="1">#REF!</definedName>
    <definedName name="VSMU_ppa2000_bDOK">#REF!</definedName>
    <definedName name="VSMU_pps_bKA" localSheetId="1">#REF!</definedName>
    <definedName name="VSMU_pps_bKA">#REF!</definedName>
    <definedName name="VSMU_pps_bKA_bDOK" localSheetId="1">#REF!</definedName>
    <definedName name="VSMU_pps_bKA_bDOK">#REF!</definedName>
    <definedName name="VSMU_pps_sKA" localSheetId="1">#REF!</definedName>
    <definedName name="VSMU_pps_sKA">#REF!</definedName>
    <definedName name="VSMU_pps_sKA_bDOK" localSheetId="1">#REF!</definedName>
    <definedName name="VSMU_pps_sKA_bDOK">#REF!</definedName>
    <definedName name="VSMU_vKEN_aiDOK" localSheetId="1">#REF!</definedName>
    <definedName name="VSMU_vKEN_aiDOK">#REF!</definedName>
    <definedName name="VSMU_vKEN_bKA" localSheetId="1">#REF!</definedName>
    <definedName name="VSMU_vKEN_bKA">#REF!</definedName>
    <definedName name="VSMU_vKEN_bKA_bDOK" localSheetId="1">#REF!</definedName>
    <definedName name="VSMU_vKEN_bKA_bDOK">#REF!</definedName>
    <definedName name="VSMU_vKEN_bKA_PDS" localSheetId="1">#REF!</definedName>
    <definedName name="VSMU_vKEN_bKA_PDS">#REF!</definedName>
    <definedName name="VSMU_vKEN_sKA" localSheetId="1">#REF!</definedName>
    <definedName name="VSMU_vKEN_sKA">#REF!</definedName>
    <definedName name="VSMU_vKEN_sKA_bDOK" localSheetId="1">#REF!</definedName>
    <definedName name="VSMU_vKEN_sKA_bDOK">#REF!</definedName>
    <definedName name="VSMU_vKEN_sKA_PDS" localSheetId="1">#REF!</definedName>
    <definedName name="VSMU_vKEN_sKA_PDS">#REF!</definedName>
    <definedName name="VSMU_vKPN_aiDOK" localSheetId="1">#REF!</definedName>
    <definedName name="VSMU_vKPN_aiDOK">#REF!</definedName>
    <definedName name="VSMU_vKPN_bKA" localSheetId="1">#REF!</definedName>
    <definedName name="VSMU_vKPN_bKA">#REF!</definedName>
    <definedName name="VSMU_vKPN_bKA_bDOK" localSheetId="1">#REF!</definedName>
    <definedName name="VSMU_vKPN_bKA_bDOK">#REF!</definedName>
    <definedName name="VSMU_vKPN_bKA_PDS" localSheetId="1">#REF!</definedName>
    <definedName name="VSMU_vKPN_bKA_PDS">#REF!</definedName>
    <definedName name="VSMU_vKPN_sKA" localSheetId="1">#REF!</definedName>
    <definedName name="VSMU_vKPN_sKA">#REF!</definedName>
    <definedName name="VSMU_vKPN_sKA_bDOK" localSheetId="1">#REF!</definedName>
    <definedName name="VSMU_vKPN_sKA_bDOK">#REF!</definedName>
    <definedName name="VSMU_vKPN_sKA_PDS" localSheetId="1">#REF!</definedName>
    <definedName name="VSMU_vKPN_sKA_PDS">#REF!</definedName>
    <definedName name="VSVU_paiDOK2000" localSheetId="1">#REF!</definedName>
    <definedName name="VSVU_paiDOK2000">#REF!</definedName>
    <definedName name="VSVU_pD2001_DS_bKA" localSheetId="1">#REF!</definedName>
    <definedName name="VSVU_pD2001_DS_bKA">#REF!</definedName>
    <definedName name="VSVU_pP2000_DS_bKA" localSheetId="1">#REF!</definedName>
    <definedName name="VSVU_pP2000_DS_bKA">#REF!</definedName>
    <definedName name="VSVU_pP2001_DS_bKA" localSheetId="1">#REF!</definedName>
    <definedName name="VSVU_pP2001_DS_bKA">#REF!</definedName>
    <definedName name="VSVU_pP2001_DS_sKA" localSheetId="1">#REF!</definedName>
    <definedName name="VSVU_pP2001_DS_sKA">#REF!</definedName>
    <definedName name="VSVU_ppa2000_bDOK" localSheetId="1">#REF!</definedName>
    <definedName name="VSVU_ppa2000_bDOK">#REF!</definedName>
    <definedName name="VSVU_pps_bKA" localSheetId="1">#REF!</definedName>
    <definedName name="VSVU_pps_bKA">#REF!</definedName>
    <definedName name="VSVU_pps_bKA_bDOK" localSheetId="1">#REF!</definedName>
    <definedName name="VSVU_pps_bKA_bDOK">#REF!</definedName>
    <definedName name="VSVU_pps_sKA" localSheetId="1">#REF!</definedName>
    <definedName name="VSVU_pps_sKA">#REF!</definedName>
    <definedName name="VSVU_pps_sKA_bDOK" localSheetId="1">#REF!</definedName>
    <definedName name="VSVU_pps_sKA_bDOK">#REF!</definedName>
    <definedName name="VSVU_vKEN_aiDOK" localSheetId="1">#REF!</definedName>
    <definedName name="VSVU_vKEN_aiDOK">#REF!</definedName>
    <definedName name="VSVU_vKEN_bKA" localSheetId="1">#REF!</definedName>
    <definedName name="VSVU_vKEN_bKA">#REF!</definedName>
    <definedName name="VSVU_vKEN_bKA_bDOK" localSheetId="1">#REF!</definedName>
    <definedName name="VSVU_vKEN_bKA_bDOK">#REF!</definedName>
    <definedName name="VSVU_vKEN_bKA_PDS" localSheetId="1">#REF!</definedName>
    <definedName name="VSVU_vKEN_bKA_PDS">#REF!</definedName>
    <definedName name="VSVU_vKEN_sKA" localSheetId="1">#REF!</definedName>
    <definedName name="VSVU_vKEN_sKA">#REF!</definedName>
    <definedName name="VSVU_vKEN_sKA_bDOK" localSheetId="1">#REF!</definedName>
    <definedName name="VSVU_vKEN_sKA_bDOK">#REF!</definedName>
    <definedName name="VSVU_vKEN_sKA_PDS" localSheetId="1">#REF!</definedName>
    <definedName name="VSVU_vKEN_sKA_PDS">#REF!</definedName>
    <definedName name="VSVU_vKPN_aiDOK" localSheetId="1">#REF!</definedName>
    <definedName name="VSVU_vKPN_aiDOK">#REF!</definedName>
    <definedName name="VSVU_vKPN_bKA" localSheetId="1">#REF!</definedName>
    <definedName name="VSVU_vKPN_bKA">#REF!</definedName>
    <definedName name="VSVU_vKPN_bKA_bDOK" localSheetId="1">#REF!</definedName>
    <definedName name="VSVU_vKPN_bKA_bDOK">#REF!</definedName>
    <definedName name="VSVU_vKPN_bKA_PDS" localSheetId="1">#REF!</definedName>
    <definedName name="VSVU_vKPN_bKA_PDS">#REF!</definedName>
    <definedName name="VSVU_vKPN_sKA" localSheetId="1">#REF!</definedName>
    <definedName name="VSVU_vKPN_sKA">#REF!</definedName>
    <definedName name="VSVU_vKPN_sKA_bDOK" localSheetId="1">#REF!</definedName>
    <definedName name="VSVU_vKPN_sKA_bDOK">#REF!</definedName>
    <definedName name="VSVU_vKPN_sKA_PDS" localSheetId="1">#REF!</definedName>
    <definedName name="VSVU_vKPN_sKA_PDS">#REF!</definedName>
    <definedName name="x">#REF!</definedName>
    <definedName name="xxxxxxxxxxxx">#REF!</definedName>
    <definedName name="ZMI">'[21]priplatky20'!$K$7</definedName>
    <definedName name="ZMII">'[21]priplatky20'!$L$7</definedName>
    <definedName name="ZU_paiDOK2000" localSheetId="1">#REF!</definedName>
    <definedName name="ZU_paiDOK2000">#REF!</definedName>
    <definedName name="ZU_pD2001_DS_bKA" localSheetId="1">#REF!</definedName>
    <definedName name="ZU_pD2001_DS_bKA">#REF!</definedName>
    <definedName name="ZU_pP2000_DS_bKA" localSheetId="1">#REF!</definedName>
    <definedName name="ZU_pP2000_DS_bKA">#REF!</definedName>
    <definedName name="ZU_pP2001_DS_bKA" localSheetId="1">#REF!</definedName>
    <definedName name="ZU_pP2001_DS_bKA">#REF!</definedName>
    <definedName name="ZU_pP2001_DS_sKA" localSheetId="1">#REF!</definedName>
    <definedName name="ZU_pP2001_DS_sKA">#REF!</definedName>
    <definedName name="ZU_ppa2000_bDOK" localSheetId="1">#REF!</definedName>
    <definedName name="ZU_ppa2000_bDOK">#REF!</definedName>
    <definedName name="ZU_pps_bKA" localSheetId="1">#REF!</definedName>
    <definedName name="ZU_pps_bKA">#REF!</definedName>
    <definedName name="ZU_pps_bKA_bDOK" localSheetId="1">#REF!</definedName>
    <definedName name="ZU_pps_bKA_bDOK">#REF!</definedName>
    <definedName name="ZU_pps_sKA" localSheetId="1">#REF!</definedName>
    <definedName name="ZU_pps_sKA">#REF!</definedName>
    <definedName name="ZU_pps_sKA_bDOK" localSheetId="1">#REF!</definedName>
    <definedName name="ZU_pps_sKA_bDOK">#REF!</definedName>
    <definedName name="ZU_vKEN_aiDOK" localSheetId="1">#REF!</definedName>
    <definedName name="ZU_vKEN_aiDOK">#REF!</definedName>
    <definedName name="ZU_vKEN_bKA" localSheetId="1">#REF!</definedName>
    <definedName name="ZU_vKEN_bKA">#REF!</definedName>
    <definedName name="ZU_vKEN_bKA_bDOK" localSheetId="1">#REF!</definedName>
    <definedName name="ZU_vKEN_bKA_bDOK">#REF!</definedName>
    <definedName name="ZU_vKEN_bKA_PDS" localSheetId="1">#REF!</definedName>
    <definedName name="ZU_vKEN_bKA_PDS">#REF!</definedName>
    <definedName name="ZU_vKEN_sKA" localSheetId="1">#REF!</definedName>
    <definedName name="ZU_vKEN_sKA">#REF!</definedName>
    <definedName name="ZU_vKEN_sKA_bDOK" localSheetId="1">#REF!</definedName>
    <definedName name="ZU_vKEN_sKA_bDOK">#REF!</definedName>
    <definedName name="ZU_vKEN_sKA_PDS" localSheetId="1">#REF!</definedName>
    <definedName name="ZU_vKEN_sKA_PDS">#REF!</definedName>
    <definedName name="ZU_vKPN_aiDOK" localSheetId="1">#REF!</definedName>
    <definedName name="ZU_vKPN_aiDOK">#REF!</definedName>
    <definedName name="ZU_vKPN_bKA" localSheetId="1">#REF!</definedName>
    <definedName name="ZU_vKPN_bKA">#REF!</definedName>
    <definedName name="ZU_vKPN_bKA_bDOK" localSheetId="1">#REF!</definedName>
    <definedName name="ZU_vKPN_bKA_bDOK">#REF!</definedName>
    <definedName name="ZU_vKPN_bKA_PDS" localSheetId="1">#REF!</definedName>
    <definedName name="ZU_vKPN_bKA_PDS">#REF!</definedName>
    <definedName name="ZU_vKPN_sKA" localSheetId="1">#REF!</definedName>
    <definedName name="ZU_vKPN_sKA">#REF!</definedName>
    <definedName name="ZU_vKPN_sKA_bDOK" localSheetId="1">#REF!</definedName>
    <definedName name="ZU_vKPN_sKA_bDOK">#REF!</definedName>
    <definedName name="ZU_vKPN_sKA_PDS" localSheetId="1">#REF!</definedName>
    <definedName name="ZU_vKPN_sKA_PDS">#REF!</definedName>
  </definedNames>
  <calcPr fullCalcOnLoad="1"/>
</workbook>
</file>

<file path=xl/sharedStrings.xml><?xml version="1.0" encoding="utf-8"?>
<sst xmlns="http://schemas.openxmlformats.org/spreadsheetml/2006/main" count="479" uniqueCount="275">
  <si>
    <t>STU  s u m á r</t>
  </si>
  <si>
    <t>SvF</t>
  </si>
  <si>
    <t>SjF</t>
  </si>
  <si>
    <t>FEI</t>
  </si>
  <si>
    <t>FCHPT</t>
  </si>
  <si>
    <t>FA</t>
  </si>
  <si>
    <t>MtF</t>
  </si>
  <si>
    <t>FIIT</t>
  </si>
  <si>
    <t xml:space="preserve">UZ ŠDaJ </t>
  </si>
  <si>
    <t>UM</t>
  </si>
  <si>
    <t>S T U</t>
  </si>
  <si>
    <t>Bežné a kapitálové výdavky spolu</t>
  </si>
  <si>
    <t>Bežné výdavky spolu</t>
  </si>
  <si>
    <t>BV z toho: veda a výskum</t>
  </si>
  <si>
    <t>Podprogram  07712 - veda a technika</t>
  </si>
  <si>
    <t>Podprogram  077 13 - rozvoj VŠ</t>
  </si>
  <si>
    <t>0771501 - sociálne štipendiá</t>
  </si>
  <si>
    <t>ÚZ ŠDaJ</t>
  </si>
  <si>
    <t>R+CUP</t>
  </si>
  <si>
    <t>STU spolu</t>
  </si>
  <si>
    <t>P/PP</t>
  </si>
  <si>
    <t>interné úpravy dotácie mimo DZ:</t>
  </si>
  <si>
    <t>interné úpravy dotácie dľa DZ:</t>
  </si>
  <si>
    <t>štip.DrŠ-nové miesta-rez.</t>
  </si>
  <si>
    <t>úpravy spolu</t>
  </si>
  <si>
    <t>úpravy spolu dľa DZ</t>
  </si>
  <si>
    <t xml:space="preserve">ÚPRAVY  DOTÁCIE  KAPITÁLOVÝCH  VÝDAVKOV  </t>
  </si>
  <si>
    <t xml:space="preserve">Upravená dotácia podľa DZ </t>
  </si>
  <si>
    <t>kv+bv</t>
  </si>
  <si>
    <t>spolu BV+KV</t>
  </si>
  <si>
    <t>kontrola celkom</t>
  </si>
  <si>
    <t>v €</t>
  </si>
  <si>
    <t>Podprogram 06K11 - APVV</t>
  </si>
  <si>
    <t>Podprogram 06K12- prierezové programy</t>
  </si>
  <si>
    <t>Podprogram 06K12</t>
  </si>
  <si>
    <t>Podprogram 06K0A02-štátne programy</t>
  </si>
  <si>
    <t>Podprogram 05T08 - zahr. štipendisti</t>
  </si>
  <si>
    <t>Podprogram 0210203 - proj. DAAD</t>
  </si>
  <si>
    <t>Kapitálové výdavky celkom</t>
  </si>
  <si>
    <t>kontrola</t>
  </si>
  <si>
    <t>077 12 02 - VEGA</t>
  </si>
  <si>
    <t>077 12 05 - KEGA</t>
  </si>
  <si>
    <t xml:space="preserve">Podprogram  077 11 - VŠ vzdelávanie </t>
  </si>
  <si>
    <t>Podprogram  077 15 - sociálne služby</t>
  </si>
  <si>
    <t>Úpravy po AS</t>
  </si>
  <si>
    <t>projekty APVV</t>
  </si>
  <si>
    <t>UZ Technik</t>
  </si>
  <si>
    <t>Vládni štipendisti</t>
  </si>
  <si>
    <t>06K 11</t>
  </si>
  <si>
    <t>prierezové projekty</t>
  </si>
  <si>
    <t xml:space="preserve">0771502 - motivačné štipendiá </t>
  </si>
  <si>
    <t xml:space="preserve">DOTÁCIE BV SPOLU k </t>
  </si>
  <si>
    <t xml:space="preserve">DOTÁCIE BV SPOLU PODĽA DZ                                               k </t>
  </si>
  <si>
    <t xml:space="preserve">DOTÁCIE KV SPOLU PODĽA  DZ k </t>
  </si>
  <si>
    <t>05T 08</t>
  </si>
  <si>
    <t>021 02 03</t>
  </si>
  <si>
    <t>06K 12</t>
  </si>
  <si>
    <t>Fak.,UM,UVP spolu</t>
  </si>
  <si>
    <t>0771502 - motivačné štipendiá pre vybrané štud. odbory</t>
  </si>
  <si>
    <t>projekty DAAD, vládne štipendiá</t>
  </si>
  <si>
    <t>Valorizácia 2020</t>
  </si>
  <si>
    <t>Dopad val. od 1.9.19 na 8 mes.</t>
  </si>
  <si>
    <t>077 11 - Mzdy výkonové</t>
  </si>
  <si>
    <t>07712 - výkonové zložky</t>
  </si>
  <si>
    <t>Podprogram 07715 03 spolu</t>
  </si>
  <si>
    <t>077 1503   ŠD spolu</t>
  </si>
  <si>
    <t>077 1503 - ŠD - mzdy</t>
  </si>
  <si>
    <t>077 1503 - ŠD - odvody</t>
  </si>
  <si>
    <t>077 1503 - ŠD - valorizácia</t>
  </si>
  <si>
    <t>0771503 - ŠD - valorizácia odvody</t>
  </si>
  <si>
    <t>077 1503 - ŠD - na ubyt. študentov</t>
  </si>
  <si>
    <t>077 1503- ŠD - na prevádzku</t>
  </si>
  <si>
    <t>077 11</t>
  </si>
  <si>
    <t>úpravy - vzájomné výkony vo vzdel. MP</t>
  </si>
  <si>
    <t>úpravy- vzájomné výkony vo vzd. odvody</t>
  </si>
  <si>
    <t>FAD</t>
  </si>
  <si>
    <t>077 12 01</t>
  </si>
  <si>
    <t>077 15 02</t>
  </si>
  <si>
    <t>Dodatok č. 1 - úprava motivačných štipendií-odborové</t>
  </si>
  <si>
    <t>Dodatok č. 1 - úprava motivačných štipendií-ostatné</t>
  </si>
  <si>
    <t>077 15 03 /0810</t>
  </si>
  <si>
    <t>Dodatok č. 2 - VEGA</t>
  </si>
  <si>
    <t>Dodatok č. 2 - KEGA</t>
  </si>
  <si>
    <t>077 12 05</t>
  </si>
  <si>
    <t>077 12 02</t>
  </si>
  <si>
    <t>DOTÁCIE KV SPOLU k  31.12.2021</t>
  </si>
  <si>
    <t>Schválená dotácia 2021</t>
  </si>
  <si>
    <t>UVP_NC</t>
  </si>
  <si>
    <t>R_STU</t>
  </si>
  <si>
    <t>STU aktivity</t>
  </si>
  <si>
    <t>Fakulty aktivity</t>
  </si>
  <si>
    <t>R-STU</t>
  </si>
  <si>
    <t>Účel STU - integrátory AIS</t>
  </si>
  <si>
    <t>Účel STU - Fond rektora</t>
  </si>
  <si>
    <t>Účel STU - personálne zabezpečenie SIVVP</t>
  </si>
  <si>
    <t>077 11 - odvody výkonové</t>
  </si>
  <si>
    <t xml:space="preserve"> </t>
  </si>
  <si>
    <t xml:space="preserve">    077 11- mzdy SPOLU</t>
  </si>
  <si>
    <t xml:space="preserve">    077 11- odvody SPOLU</t>
  </si>
  <si>
    <t>Účel MŠ - zabezpečenie prevádzky PCA</t>
  </si>
  <si>
    <t>Účel MŠ - študentská formula</t>
  </si>
  <si>
    <t>077 11 - TaS účelové</t>
  </si>
  <si>
    <t xml:space="preserve">    077 11-TaS SPOLU</t>
  </si>
  <si>
    <t>077 11 - TaS neúčelové</t>
  </si>
  <si>
    <t>Účel MŠ - podpora študentov so špec.potrebami</t>
  </si>
  <si>
    <t>Účel STU- materiálnotech. a org. zabezp. vzdelávacích činností pre STU (Útvar vzdelávania)</t>
  </si>
  <si>
    <t>Účel STU - súdne spory a poplatky</t>
  </si>
  <si>
    <t>Účel STU - CUVTIS</t>
  </si>
  <si>
    <t>Účel STU - licencia e-BIZ</t>
  </si>
  <si>
    <t>Účel STU - činnosti vedeckej rady (Útvar vedy)</t>
  </si>
  <si>
    <t xml:space="preserve">Účel STU - činnosť VSK komisie </t>
  </si>
  <si>
    <t>Účel STU - rozvoj medzinárodných vťahov</t>
  </si>
  <si>
    <t>Účel STU - zabezpečenie externej a internej komunikácie STU(Útvar práce s ver.)</t>
  </si>
  <si>
    <t>Účel STU - činnosť Vydavateľstva STU</t>
  </si>
  <si>
    <t>Účel STU - činnosť akademického senátu STU</t>
  </si>
  <si>
    <t>Účel MŠ - špičkové tímy</t>
  </si>
  <si>
    <t>Účel STU- ANSIS, MATLAB, ARL, LabView, e-Porady</t>
  </si>
  <si>
    <t>Účel STU -CVT - upgrade hardvéru</t>
  </si>
  <si>
    <t>Účel STU - SIVVPP  energie</t>
  </si>
  <si>
    <t>Účel STU - odborné databázy</t>
  </si>
  <si>
    <t>Účel STU - elektronické publikovanie článkov Sciendo</t>
  </si>
  <si>
    <t>Účel STU - podpora medzinárodnej vedeckej spolupráce</t>
  </si>
  <si>
    <t>Účel STU - zabezpečenie vzdelávania doktorandov</t>
  </si>
  <si>
    <t>Účel STU - Centrum akademického športu</t>
  </si>
  <si>
    <t>Účel STU - činnosť Univerzitného vedeckého inkubátora</t>
  </si>
  <si>
    <t>Účel STU - podpora tímov H2020</t>
  </si>
  <si>
    <t>Účel STU - na programy mladý výskumník a excelentné tímy</t>
  </si>
  <si>
    <t>Účel STU - postdoktorandský program</t>
  </si>
  <si>
    <t>Účel STU - spolufinancovanie projektu H2020 SASPRO2</t>
  </si>
  <si>
    <t>Účel STU - spolufinancovanie projektu CARLiS a DigVil</t>
  </si>
  <si>
    <t>Účel STU - členské poplatky V KIC a EFRA</t>
  </si>
  <si>
    <t>Účel STU - 5% spolufinancovanie projektu ACCORD za rok 2021</t>
  </si>
  <si>
    <t>Účel STU -poistenie prístrojov zakúpených zo ŠF</t>
  </si>
  <si>
    <t>Účel STU - vedec roka</t>
  </si>
  <si>
    <t>077 1503 - strav. príspevok (09607)</t>
  </si>
  <si>
    <t>077 1503 - šport (0810)</t>
  </si>
  <si>
    <t>077 1503 - kultúra(0820)</t>
  </si>
  <si>
    <t>0771201 - inštituc. veda SPOLU</t>
  </si>
  <si>
    <t>Úprava - projekt APVV-18-0348</t>
  </si>
  <si>
    <t>Úprava - projekt APVV-19-0401</t>
  </si>
  <si>
    <t>dofinancovanie ACCORD/prekročenie rozpočtu</t>
  </si>
  <si>
    <t>Dodatok č. 3_rekonšt.práce na rozvodoch SV, TÚV a ohrievačoch vody - 1 .etapa (RI44254)</t>
  </si>
  <si>
    <t>rekonštrukčné práce na rozvodoch SV, TÚV, cirkulácie TÚV a ohrievačoch vody - 1.etapa (RI 44254)</t>
  </si>
  <si>
    <t>odstránenie havarijnej situácie aktívnej vrstvy počítačovej siete budovy FEI STU (RI44255)</t>
  </si>
  <si>
    <t>Dodatok č. 3_odstránenie havarijnej situácie aktívnej vrstvy počítačovej siete budovy FEI (RI44255)</t>
  </si>
  <si>
    <t>vzájiomné pedagogické výkony - 3/2021 - mzdy</t>
  </si>
  <si>
    <t>vzájiomné pedagogické výkony - 2/2021 -odvody</t>
  </si>
  <si>
    <t>vzájiomné pedagogické výkony - 2/2021 - mzdy</t>
  </si>
  <si>
    <t>vzájiomné pedagogické výkony -3/2021 -odvody</t>
  </si>
  <si>
    <t>vzájiomné pedagogické výkony -4/2021 - mzdy</t>
  </si>
  <si>
    <t>vzájiomné pedagogické výkony -4/2021 -odvody</t>
  </si>
  <si>
    <t>vzájiomné pedagogické výkony -5/2021 - mzdy</t>
  </si>
  <si>
    <t>vzájiomné pedagogické výkony -5/2021 -odvody</t>
  </si>
  <si>
    <t>vzájiomné pedagogické výkony -6/2021 - mzdy</t>
  </si>
  <si>
    <t>vzájiomné pedagogické výkony -6/2021 -odvody</t>
  </si>
  <si>
    <t>Účel MŠ - úprava šport</t>
  </si>
  <si>
    <t xml:space="preserve">07712- mzdy </t>
  </si>
  <si>
    <t>07712 - odvody</t>
  </si>
  <si>
    <t>Vypracovala: Ing. Slouková</t>
  </si>
  <si>
    <t>Program  077 -bežné výdavky v zmysle dotačnej zmluvy</t>
  </si>
  <si>
    <t>Program  077 -Kapitálové výdavky v zmysle dotačnej zmluvy</t>
  </si>
  <si>
    <t>Schválená dotácia AS 2021</t>
  </si>
  <si>
    <t>presun mezi programami - 07/2021  - mzdy</t>
  </si>
  <si>
    <t>presun mezi programami - 07/2021  - odvody</t>
  </si>
  <si>
    <t>vzájiomné pedagogické výkony -7/2021 - mzdy</t>
  </si>
  <si>
    <t>vzájiomné pedagogické výkony -7/2021 -odvody</t>
  </si>
  <si>
    <t>Účel STU - program mladí výskumníci 2021</t>
  </si>
  <si>
    <t>Účel STU - podpora excelent. tímov 2021</t>
  </si>
  <si>
    <t>presun mezi programami - (čerpanie 1-5)  -CAŠ</t>
  </si>
  <si>
    <t>presun mezi programami - rozpis dotácie  -UTI</t>
  </si>
  <si>
    <t>presun mezi programami - rozpis dotácie  - UTI</t>
  </si>
  <si>
    <t>Účel STU- oprava rozpisu_integrátory(mzdy)</t>
  </si>
  <si>
    <t>Účel STU- oprava rozpisu_integrátory(odvody)</t>
  </si>
  <si>
    <t>Účel STU- oprava rozpisu_SIVVP(mzdy)</t>
  </si>
  <si>
    <t>Účel STU- oprava rozpisu_SIVVP(odvody)</t>
  </si>
  <si>
    <t>Rezerva _R(1000)</t>
  </si>
  <si>
    <t>presun mezi programami - (čerpanie 1-5)  -SIVVP</t>
  </si>
  <si>
    <t>Dodatok č. 4 - VEGA</t>
  </si>
  <si>
    <t>Dodatok č. 4 - tehotenské štipendiá                    za 04-07/2021</t>
  </si>
  <si>
    <t>0771501 - tehotenské štipendiá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</si>
  <si>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</si>
  <si>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</t>
  </si>
  <si>
    <t>presun mezi programami - 10/2021  - mzdy</t>
  </si>
  <si>
    <t>presun mezi programami - 10/2021  - odvody</t>
  </si>
  <si>
    <t>presun dotácie z 1016 - tovary a služby  -CAŠ</t>
  </si>
  <si>
    <t>presun dotácie z 1016 -mzdy  -CAŠ</t>
  </si>
  <si>
    <t>presun dotácie z 1016 - odvody  -CAŠ</t>
  </si>
  <si>
    <t>Dodatok č. 5 -zmiernenie ek.dopadov_COVID 19</t>
  </si>
  <si>
    <t>077 15 03</t>
  </si>
  <si>
    <t>Dodatok č.6 -odmeny 100 EUR_kolektívna zmluva</t>
  </si>
  <si>
    <t>UVP_NC Rektorát</t>
  </si>
  <si>
    <t>UVP_NC MTF</t>
  </si>
  <si>
    <t>vládne</t>
  </si>
  <si>
    <t>APPVV</t>
  </si>
  <si>
    <t>Príkaz rektora č.10/2021 _presun UVP_NC_mzdy</t>
  </si>
  <si>
    <t>Príkaz rektora č.10/2021 _presun UVP_NC_odvody</t>
  </si>
  <si>
    <t>Príkaz rektora č.10/2021 _presun UVP_NC_TaS</t>
  </si>
  <si>
    <t>Príkaz rektora č.10/2021 _presun UVP_NC</t>
  </si>
  <si>
    <t>07711</t>
  </si>
  <si>
    <t>0771</t>
  </si>
  <si>
    <t>UVP _NC                    MTF</t>
  </si>
  <si>
    <t>UVP_NC                     Rektorát</t>
  </si>
  <si>
    <t>vzájiomné pedagogické výkony -10/2021 - mzdy</t>
  </si>
  <si>
    <t>vzájiomné pedagogické výkony -10/2021 -odvody</t>
  </si>
  <si>
    <t>06K12</t>
  </si>
  <si>
    <t>Účel STU - ochrana duševného vlastníctva (Smernica č.8)</t>
  </si>
  <si>
    <t>Účel STU- SASPRO 2</t>
  </si>
  <si>
    <t>Účel MŠ - špecifické potreby</t>
  </si>
  <si>
    <t>Dodatok č.7 - vyplatené rekreácie 1-9/2021</t>
  </si>
  <si>
    <t>Dodatok č. 7 - predpoklad  rekreácie 10-12/2021</t>
  </si>
  <si>
    <t>Dodatok č. 7 - formula student EAST 2021</t>
  </si>
  <si>
    <t>Dodatok č. 7 - formula student Alpe Adria 2021</t>
  </si>
  <si>
    <t>nezaslaná dotácia z ministerstva</t>
  </si>
  <si>
    <t>Spolu</t>
  </si>
  <si>
    <t>presun mezi programami - 11/2021  - mzdy</t>
  </si>
  <si>
    <t>presun mezi programami - 11/2021  - odvody</t>
  </si>
  <si>
    <t>presun medzi programami - 11/2021 - tovary a služby</t>
  </si>
  <si>
    <t>Účel STU -Smernica rektora č.8 - odvody</t>
  </si>
  <si>
    <t>Úcel STU -Smernica rektora č.8 - mzdy</t>
  </si>
  <si>
    <t>Účel STU - Fond rektora - mzdy</t>
  </si>
  <si>
    <t>Účel STU - Fond rektora - odvody</t>
  </si>
  <si>
    <t>Účel STU - VSK - mzdy</t>
  </si>
  <si>
    <t>Účel STU - VSK - odvody</t>
  </si>
  <si>
    <t>Účel STU - Akademický senát - mzdy</t>
  </si>
  <si>
    <t>Účel STU - Akademický senát - odvody</t>
  </si>
  <si>
    <t>presun medzi progamami - 1035 -AS</t>
  </si>
  <si>
    <t>07 711</t>
  </si>
  <si>
    <t>december príjem z ministerstva</t>
  </si>
  <si>
    <t>Green teem</t>
  </si>
  <si>
    <t>presun mezi programami - 12/2021  - mzdy</t>
  </si>
  <si>
    <t>presun mezi programami - 12/2021  - odvody</t>
  </si>
  <si>
    <t>presun medzi programami - 12/2021 - tovary a služby</t>
  </si>
  <si>
    <t>presun medzi programami - odmeny KZ</t>
  </si>
  <si>
    <t>=</t>
  </si>
  <si>
    <t>Presun rezervy rektorátu- mzdy</t>
  </si>
  <si>
    <t>Presun rezervy rektorátu- odvody</t>
  </si>
  <si>
    <t>Presun rezervy rektorátu- tovary do miezd</t>
  </si>
  <si>
    <t>Presun rezervy rektorátu do miezd</t>
  </si>
  <si>
    <t>Dodatok č. 8 _korekcia 2019 - 2020</t>
  </si>
  <si>
    <t>Dodatok č. 8 _ odsek 56. metodiky</t>
  </si>
  <si>
    <t>Dodatok č. 8 _ neúčelová</t>
  </si>
  <si>
    <t>Dodatky</t>
  </si>
  <si>
    <t>077 13</t>
  </si>
  <si>
    <t>Dodatok č. 9 _ CONNEKT, MŠ MTF, opt.proces</t>
  </si>
  <si>
    <t>Dodatok č. 10_odmeny 350 EUR - kolektívna</t>
  </si>
  <si>
    <t>Dodatok č.10_odmeny v zmysle kol. zmluvy</t>
  </si>
  <si>
    <t>Dodatok č. 10_tehotenské</t>
  </si>
  <si>
    <t>Dodatok č.10_Cyklostratégia</t>
  </si>
  <si>
    <t>Dodatok č. 10_Cyklostratégia</t>
  </si>
  <si>
    <t>Dodatok č. 11 -zmiernenie ek.dopadov_COVID 19</t>
  </si>
  <si>
    <t>Dodatok č. 12 - soc. štipendiá - dofinancovanie</t>
  </si>
  <si>
    <t>077 15 01/09413</t>
  </si>
  <si>
    <t>077 15 01/09412</t>
  </si>
  <si>
    <t>Dodatok č. 10_dofinancovanie vzdelávania</t>
  </si>
  <si>
    <t>Dodatok č.10_dofinancovanie vzdelávania</t>
  </si>
  <si>
    <t>Dodatok č. 7 - rekreačný príspevok</t>
  </si>
  <si>
    <t>Dodatok č. 6  - odmeny v zmysle kol. zmluvy</t>
  </si>
  <si>
    <t>Dodatok č. 7 - medzinárodné súťaže(Rormula East/Alpe(ref.)</t>
  </si>
  <si>
    <t>Dodatok č. 5 a č. 11 - COVID 19</t>
  </si>
  <si>
    <t>Dodatok č. 9_ optimalizácia procesov</t>
  </si>
  <si>
    <t>Dodatok č. 9_CONNECT</t>
  </si>
  <si>
    <t>Dodatok č. 9_ MŠ MTF</t>
  </si>
  <si>
    <t>Dodatok č. 9 _ CONNEKT</t>
  </si>
  <si>
    <t>Dodatok č. 9 _ MŠ MTF</t>
  </si>
  <si>
    <t>Dodatok č. 9 _  optimalizácia procesov</t>
  </si>
  <si>
    <t>Prorektori - Presun z miezd 1016 na 1049</t>
  </si>
  <si>
    <t>Prorektori - Presun z odvodov 1016 na 1049</t>
  </si>
  <si>
    <t>Prorektori - mzdy(zákazka 1049)</t>
  </si>
  <si>
    <t>Prorektori - odvody (zákazka 1049)</t>
  </si>
  <si>
    <t>Prorektori- mzdy(1-12)-zákazky 1049</t>
  </si>
  <si>
    <t>Prorektori- odvody(1-12) - zákazka 1049</t>
  </si>
  <si>
    <t>ÚPRAVY  DOTÁCIE  BEŽNÝCH  VÝDAVKOV  ROK 2021 k 16.02.2022</t>
  </si>
  <si>
    <t>December</t>
  </si>
  <si>
    <t>Dotácia evidovaná na R-STU (nepridelená súčastiam)</t>
  </si>
  <si>
    <t>Aktuálna súhrnná tabuľka o rozpise dotácie STU _ 12/2021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</si>
</sst>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0000"/>
    <numFmt numFmtId="175" formatCode="0.0"/>
    <numFmt numFmtId="176" formatCode="0.0000_ ;[Red]\-0.0000\ "/>
    <numFmt numFmtId="177" formatCode="0_ ;[Red]\-0\ "/>
    <numFmt numFmtId="178" formatCode="#,##0.000"/>
    <numFmt numFmtId="179" formatCode="#,##0.0000"/>
    <numFmt numFmtId="180" formatCode="#,##0.0"/>
    <numFmt numFmtId="181" formatCode="0.0000"/>
    <numFmt numFmtId="182" formatCode="#,##0.00000"/>
    <numFmt numFmtId="183" formatCode="#,##0.000000"/>
    <numFmt numFmtId="184" formatCode="#,##0.0000000"/>
    <numFmt numFmtId="185" formatCode="_-* #,##0.000\ _S_k_-;\-* #,##0.000\ _S_k_-;_-* &quot;-&quot;??\ _S_k_-;_-@_-"/>
    <numFmt numFmtId="186" formatCode="_-* #,##0.0000\ _S_k_-;\-* #,##0.0000\ _S_k_-;_-* &quot;-&quot;??\ _S_k_-;_-@_-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4"/>
      <color indexed="4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color indexed="57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48"/>
      <name val="Arial"/>
      <family val="2"/>
    </font>
    <font>
      <sz val="10"/>
      <color indexed="57"/>
      <name val="Arial"/>
      <family val="2"/>
    </font>
    <font>
      <sz val="10"/>
      <color indexed="57"/>
      <name val="Arial CE"/>
      <family val="2"/>
    </font>
    <font>
      <sz val="10"/>
      <color indexed="10"/>
      <name val="Arial"/>
      <family val="2"/>
    </font>
    <font>
      <sz val="12"/>
      <name val="Arial CE"/>
      <family val="2"/>
    </font>
    <font>
      <i/>
      <sz val="10"/>
      <color indexed="48"/>
      <name val="Arial CE"/>
      <family val="2"/>
    </font>
    <font>
      <b/>
      <sz val="11"/>
      <name val="Arial CE"/>
      <family val="2"/>
    </font>
    <font>
      <b/>
      <sz val="10"/>
      <color indexed="36"/>
      <name val="Arial CE"/>
      <family val="2"/>
    </font>
    <font>
      <u val="single"/>
      <sz val="10"/>
      <name val="Arial CE"/>
      <family val="2"/>
    </font>
    <font>
      <i/>
      <sz val="10"/>
      <color indexed="10"/>
      <name val="Arial CE"/>
      <family val="2"/>
    </font>
    <font>
      <sz val="10"/>
      <color indexed="36"/>
      <name val="Arial CE"/>
      <family val="2"/>
    </font>
    <font>
      <sz val="10"/>
      <color indexed="17"/>
      <name val="Arial CE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4"/>
      <name val="Arial CE"/>
      <family val="2"/>
    </font>
    <font>
      <b/>
      <i/>
      <sz val="10"/>
      <color indexed="57"/>
      <name val="Arial CE"/>
      <family val="2"/>
    </font>
    <font>
      <i/>
      <sz val="11"/>
      <name val="Times New Roman"/>
      <family val="1"/>
    </font>
    <font>
      <sz val="9"/>
      <name val="Arial CE"/>
      <family val="2"/>
    </font>
    <font>
      <i/>
      <sz val="10"/>
      <name val="Arial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0"/>
      <color indexed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i/>
      <sz val="11"/>
      <color indexed="10"/>
      <name val="Times New Roman"/>
      <family val="1"/>
    </font>
    <font>
      <i/>
      <sz val="10"/>
      <color indexed="10"/>
      <name val="Calibri"/>
      <family val="2"/>
    </font>
    <font>
      <sz val="12"/>
      <color indexed="10"/>
      <name val="Arial CE"/>
      <family val="2"/>
    </font>
    <font>
      <b/>
      <sz val="11"/>
      <color indexed="10"/>
      <name val="Arial CE"/>
      <family val="0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7030A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2"/>
      <color rgb="FFFF0000"/>
      <name val="Calibri"/>
      <family val="2"/>
    </font>
    <font>
      <i/>
      <sz val="11"/>
      <color rgb="FFFF0000"/>
      <name val="Times New Roman"/>
      <family val="1"/>
    </font>
    <font>
      <b/>
      <sz val="10"/>
      <color rgb="FFFF0000"/>
      <name val="Arial CE"/>
      <family val="2"/>
    </font>
    <font>
      <i/>
      <sz val="10"/>
      <color rgb="FFFF0000"/>
      <name val="Calibri"/>
      <family val="2"/>
    </font>
    <font>
      <sz val="12"/>
      <color rgb="FFFF0000"/>
      <name val="Arial CE"/>
      <family val="2"/>
    </font>
    <font>
      <b/>
      <sz val="11"/>
      <color rgb="FFFF0000"/>
      <name val="Arial CE"/>
      <family val="0"/>
    </font>
    <font>
      <sz val="10"/>
      <color theme="0"/>
      <name val="Arial CE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82" fillId="20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1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8" applyNumberFormat="0" applyAlignment="0" applyProtection="0"/>
    <xf numFmtId="0" fontId="95" fillId="25" borderId="8" applyNumberFormat="0" applyAlignment="0" applyProtection="0"/>
    <xf numFmtId="0" fontId="96" fillId="25" borderId="9" applyNumberFormat="0" applyAlignment="0" applyProtection="0"/>
    <xf numFmtId="0" fontId="97" fillId="0" borderId="0" applyNumberFormat="0" applyFill="0" applyBorder="0" applyAlignment="0" applyProtection="0"/>
    <xf numFmtId="0" fontId="98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1090">
    <xf numFmtId="0" fontId="0" fillId="0" borderId="0" xfId="0" applyAlignment="1">
      <alignment/>
    </xf>
    <xf numFmtId="0" fontId="16" fillId="0" borderId="0" xfId="50" applyFont="1">
      <alignment/>
      <protection/>
    </xf>
    <xf numFmtId="0" fontId="0" fillId="0" borderId="0" xfId="0" applyFont="1" applyAlignment="1">
      <alignment/>
    </xf>
    <xf numFmtId="0" fontId="18" fillId="0" borderId="0" xfId="50" applyFo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2" fillId="0" borderId="10" xfId="50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2" fillId="0" borderId="10" xfId="50" applyFont="1" applyFill="1" applyBorder="1">
      <alignment/>
      <protection/>
    </xf>
    <xf numFmtId="0" fontId="2" fillId="0" borderId="11" xfId="50" applyFont="1" applyFill="1" applyBorder="1">
      <alignment/>
      <protection/>
    </xf>
    <xf numFmtId="4" fontId="2" fillId="0" borderId="12" xfId="50" applyNumberFormat="1" applyFont="1" applyBorder="1">
      <alignment/>
      <protection/>
    </xf>
    <xf numFmtId="0" fontId="2" fillId="33" borderId="13" xfId="50" applyFont="1" applyFill="1" applyBorder="1">
      <alignment/>
      <protection/>
    </xf>
    <xf numFmtId="0" fontId="18" fillId="0" borderId="0" xfId="50" applyFont="1" applyAlignment="1">
      <alignment horizontal="right"/>
      <protection/>
    </xf>
    <xf numFmtId="4" fontId="18" fillId="0" borderId="0" xfId="50" applyNumberFormat="1" applyFont="1">
      <alignment/>
      <protection/>
    </xf>
    <xf numFmtId="0" fontId="21" fillId="0" borderId="0" xfId="50" applyFont="1">
      <alignment/>
      <protection/>
    </xf>
    <xf numFmtId="0" fontId="20" fillId="0" borderId="0" xfId="0" applyFont="1" applyAlignment="1">
      <alignment/>
    </xf>
    <xf numFmtId="4" fontId="16" fillId="0" borderId="0" xfId="50" applyNumberFormat="1" applyFont="1">
      <alignment/>
      <protection/>
    </xf>
    <xf numFmtId="0" fontId="22" fillId="0" borderId="0" xfId="0" applyFont="1" applyAlignment="1">
      <alignment/>
    </xf>
    <xf numFmtId="4" fontId="18" fillId="0" borderId="0" xfId="50" applyNumberFormat="1" applyFont="1" applyFill="1" applyBorder="1">
      <alignment/>
      <protection/>
    </xf>
    <xf numFmtId="0" fontId="2" fillId="0" borderId="0" xfId="52">
      <alignment/>
      <protection/>
    </xf>
    <xf numFmtId="4" fontId="3" fillId="0" borderId="0" xfId="52" applyNumberFormat="1" applyFont="1" applyBorder="1" applyAlignment="1">
      <alignment horizontal="center"/>
      <protection/>
    </xf>
    <xf numFmtId="0" fontId="8" fillId="0" borderId="0" xfId="52" applyFont="1">
      <alignment/>
      <protection/>
    </xf>
    <xf numFmtId="4" fontId="11" fillId="34" borderId="14" xfId="52" applyNumberFormat="1" applyFont="1" applyFill="1" applyBorder="1" applyAlignment="1">
      <alignment horizontal="center" wrapText="1"/>
      <protection/>
    </xf>
    <xf numFmtId="0" fontId="23" fillId="0" borderId="0" xfId="52" applyFont="1">
      <alignment/>
      <protection/>
    </xf>
    <xf numFmtId="0" fontId="13" fillId="0" borderId="0" xfId="52" applyFont="1">
      <alignment/>
      <protection/>
    </xf>
    <xf numFmtId="0" fontId="5" fillId="0" borderId="0" xfId="52" applyFont="1">
      <alignment/>
      <protection/>
    </xf>
    <xf numFmtId="0" fontId="24" fillId="0" borderId="0" xfId="52" applyFont="1">
      <alignment/>
      <protection/>
    </xf>
    <xf numFmtId="0" fontId="13" fillId="34" borderId="0" xfId="52" applyFont="1" applyFill="1">
      <alignment/>
      <protection/>
    </xf>
    <xf numFmtId="0" fontId="6" fillId="0" borderId="0" xfId="52" applyFont="1">
      <alignment/>
      <protection/>
    </xf>
    <xf numFmtId="0" fontId="2" fillId="0" borderId="0" xfId="52" applyFill="1">
      <alignment/>
      <protection/>
    </xf>
    <xf numFmtId="0" fontId="2" fillId="0" borderId="0" xfId="52" applyFont="1" applyFill="1">
      <alignment/>
      <protection/>
    </xf>
    <xf numFmtId="0" fontId="9" fillId="0" borderId="0" xfId="52" applyFont="1">
      <alignment/>
      <protection/>
    </xf>
    <xf numFmtId="4" fontId="2" fillId="0" borderId="0" xfId="52" applyNumberFormat="1">
      <alignment/>
      <protection/>
    </xf>
    <xf numFmtId="4" fontId="26" fillId="0" borderId="0" xfId="50" applyNumberFormat="1" applyFont="1">
      <alignment/>
      <protection/>
    </xf>
    <xf numFmtId="0" fontId="2" fillId="0" borderId="15" xfId="50" applyFont="1" applyFill="1" applyBorder="1">
      <alignment/>
      <protection/>
    </xf>
    <xf numFmtId="4" fontId="2" fillId="0" borderId="12" xfId="52" applyNumberFormat="1" applyFont="1" applyFill="1" applyBorder="1">
      <alignment/>
      <protection/>
    </xf>
    <xf numFmtId="4" fontId="2" fillId="0" borderId="12" xfId="50" applyNumberFormat="1" applyFont="1" applyFill="1" applyBorder="1">
      <alignment/>
      <protection/>
    </xf>
    <xf numFmtId="4" fontId="2" fillId="0" borderId="16" xfId="50" applyNumberFormat="1" applyFont="1" applyFill="1" applyBorder="1">
      <alignment/>
      <protection/>
    </xf>
    <xf numFmtId="4" fontId="2" fillId="0" borderId="16" xfId="50" applyNumberFormat="1" applyFont="1" applyBorder="1">
      <alignment/>
      <protection/>
    </xf>
    <xf numFmtId="4" fontId="2" fillId="0" borderId="17" xfId="50" applyNumberFormat="1" applyFont="1" applyFill="1" applyBorder="1">
      <alignment/>
      <protection/>
    </xf>
    <xf numFmtId="0" fontId="2" fillId="0" borderId="15" xfId="50" applyFont="1" applyFill="1" applyBorder="1" applyAlignment="1">
      <alignment wrapText="1"/>
      <protection/>
    </xf>
    <xf numFmtId="4" fontId="27" fillId="34" borderId="0" xfId="52" applyNumberFormat="1" applyFont="1" applyFill="1">
      <alignment/>
      <protection/>
    </xf>
    <xf numFmtId="0" fontId="6" fillId="35" borderId="18" xfId="50" applyFont="1" applyFill="1" applyBorder="1">
      <alignment/>
      <protection/>
    </xf>
    <xf numFmtId="0" fontId="6" fillId="36" borderId="15" xfId="50" applyFont="1" applyFill="1" applyBorder="1">
      <alignment/>
      <protection/>
    </xf>
    <xf numFmtId="0" fontId="6" fillId="0" borderId="0" xfId="50" applyFont="1">
      <alignment/>
      <protection/>
    </xf>
    <xf numFmtId="4" fontId="9" fillId="0" borderId="13" xfId="52" applyNumberFormat="1" applyFont="1" applyBorder="1" applyAlignment="1">
      <alignment horizontal="left"/>
      <protection/>
    </xf>
    <xf numFmtId="4" fontId="9" fillId="0" borderId="18" xfId="52" applyNumberFormat="1" applyFont="1" applyBorder="1" applyAlignment="1">
      <alignment horizontal="center"/>
      <protection/>
    </xf>
    <xf numFmtId="4" fontId="14" fillId="35" borderId="17" xfId="52" applyNumberFormat="1" applyFont="1" applyFill="1" applyBorder="1" applyAlignment="1">
      <alignment horizontal="left" vertical="center" wrapText="1"/>
      <protection/>
    </xf>
    <xf numFmtId="4" fontId="2" fillId="0" borderId="0" xfId="52" applyNumberFormat="1" applyFont="1">
      <alignment/>
      <protection/>
    </xf>
    <xf numFmtId="4" fontId="2" fillId="0" borderId="0" xfId="52" applyNumberFormat="1" applyFont="1" applyAlignment="1">
      <alignment horizontal="right"/>
      <protection/>
    </xf>
    <xf numFmtId="4" fontId="2" fillId="0" borderId="0" xfId="52" applyNumberFormat="1" applyFont="1">
      <alignment/>
      <protection/>
    </xf>
    <xf numFmtId="0" fontId="2" fillId="37" borderId="15" xfId="50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6" fillId="0" borderId="18" xfId="50" applyFont="1" applyBorder="1">
      <alignment/>
      <protection/>
    </xf>
    <xf numFmtId="0" fontId="6" fillId="35" borderId="19" xfId="50" applyFont="1" applyFill="1" applyBorder="1">
      <alignment/>
      <protection/>
    </xf>
    <xf numFmtId="4" fontId="2" fillId="0" borderId="0" xfId="0" applyNumberFormat="1" applyFont="1" applyAlignment="1">
      <alignment/>
    </xf>
    <xf numFmtId="0" fontId="6" fillId="33" borderId="18" xfId="50" applyFont="1" applyFill="1" applyBorder="1">
      <alignment/>
      <protection/>
    </xf>
    <xf numFmtId="4" fontId="6" fillId="33" borderId="14" xfId="50" applyNumberFormat="1" applyFont="1" applyFill="1" applyBorder="1">
      <alignment/>
      <protection/>
    </xf>
    <xf numFmtId="0" fontId="6" fillId="0" borderId="20" xfId="50" applyFont="1" applyFill="1" applyBorder="1">
      <alignment/>
      <protection/>
    </xf>
    <xf numFmtId="4" fontId="2" fillId="34" borderId="0" xfId="0" applyNumberFormat="1" applyFont="1" applyFill="1" applyAlignment="1">
      <alignment/>
    </xf>
    <xf numFmtId="4" fontId="28" fillId="34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/>
    </xf>
    <xf numFmtId="4" fontId="6" fillId="0" borderId="12" xfId="50" applyNumberFormat="1" applyFont="1" applyFill="1" applyBorder="1">
      <alignment/>
      <protection/>
    </xf>
    <xf numFmtId="4" fontId="2" fillId="0" borderId="21" xfId="50" applyNumberFormat="1" applyFont="1" applyBorder="1">
      <alignment/>
      <protection/>
    </xf>
    <xf numFmtId="4" fontId="2" fillId="0" borderId="22" xfId="50" applyNumberFormat="1" applyFont="1" applyBorder="1">
      <alignment/>
      <protection/>
    </xf>
    <xf numFmtId="4" fontId="6" fillId="35" borderId="23" xfId="50" applyNumberFormat="1" applyFont="1" applyFill="1" applyBorder="1">
      <alignment/>
      <protection/>
    </xf>
    <xf numFmtId="4" fontId="2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6" fillId="0" borderId="19" xfId="50" applyFont="1" applyBorder="1">
      <alignment/>
      <protection/>
    </xf>
    <xf numFmtId="4" fontId="6" fillId="0" borderId="24" xfId="50" applyNumberFormat="1" applyFont="1" applyBorder="1" applyAlignment="1">
      <alignment horizontal="center"/>
      <protection/>
    </xf>
    <xf numFmtId="0" fontId="6" fillId="38" borderId="19" xfId="50" applyFont="1" applyFill="1" applyBorder="1">
      <alignment/>
      <protection/>
    </xf>
    <xf numFmtId="4" fontId="6" fillId="38" borderId="25" xfId="50" applyNumberFormat="1" applyFont="1" applyFill="1" applyBorder="1">
      <alignment/>
      <protection/>
    </xf>
    <xf numFmtId="4" fontId="6" fillId="38" borderId="14" xfId="50" applyNumberFormat="1" applyFont="1" applyFill="1" applyBorder="1">
      <alignment/>
      <protection/>
    </xf>
    <xf numFmtId="4" fontId="2" fillId="0" borderId="26" xfId="50" applyNumberFormat="1" applyFont="1" applyFill="1" applyBorder="1">
      <alignment/>
      <protection/>
    </xf>
    <xf numFmtId="4" fontId="2" fillId="0" borderId="27" xfId="50" applyNumberFormat="1" applyFont="1" applyBorder="1">
      <alignment/>
      <protection/>
    </xf>
    <xf numFmtId="0" fontId="2" fillId="0" borderId="12" xfId="50" applyFont="1" applyFill="1" applyBorder="1">
      <alignment/>
      <protection/>
    </xf>
    <xf numFmtId="49" fontId="2" fillId="0" borderId="12" xfId="50" applyNumberFormat="1" applyFont="1" applyFill="1" applyBorder="1" applyAlignment="1">
      <alignment horizontal="right"/>
      <protection/>
    </xf>
    <xf numFmtId="4" fontId="2" fillId="0" borderId="21" xfId="52" applyNumberFormat="1" applyFont="1" applyFill="1" applyBorder="1">
      <alignment/>
      <protection/>
    </xf>
    <xf numFmtId="4" fontId="2" fillId="0" borderId="28" xfId="50" applyNumberFormat="1" applyFont="1" applyBorder="1">
      <alignment/>
      <protection/>
    </xf>
    <xf numFmtId="0" fontId="5" fillId="39" borderId="18" xfId="50" applyFont="1" applyFill="1" applyBorder="1">
      <alignment/>
      <protection/>
    </xf>
    <xf numFmtId="0" fontId="2" fillId="39" borderId="19" xfId="50" applyFont="1" applyFill="1" applyBorder="1">
      <alignment/>
      <protection/>
    </xf>
    <xf numFmtId="0" fontId="5" fillId="33" borderId="13" xfId="50" applyFont="1" applyFill="1" applyBorder="1">
      <alignment/>
      <protection/>
    </xf>
    <xf numFmtId="0" fontId="2" fillId="33" borderId="29" xfId="50" applyFont="1" applyFill="1" applyBorder="1">
      <alignment/>
      <protection/>
    </xf>
    <xf numFmtId="4" fontId="6" fillId="0" borderId="0" xfId="50" applyNumberFormat="1" applyFont="1" applyFill="1" applyBorder="1">
      <alignment/>
      <protection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2" fillId="40" borderId="0" xfId="0" applyNumberFormat="1" applyFont="1" applyFill="1" applyAlignment="1">
      <alignment/>
    </xf>
    <xf numFmtId="4" fontId="10" fillId="37" borderId="14" xfId="52" applyNumberFormat="1" applyFont="1" applyFill="1" applyBorder="1" applyAlignment="1">
      <alignment horizontal="center"/>
      <protection/>
    </xf>
    <xf numFmtId="0" fontId="13" fillId="37" borderId="0" xfId="52" applyFont="1" applyFill="1">
      <alignment/>
      <protection/>
    </xf>
    <xf numFmtId="0" fontId="25" fillId="0" borderId="0" xfId="52" applyFont="1">
      <alignment/>
      <protection/>
    </xf>
    <xf numFmtId="4" fontId="6" fillId="0" borderId="0" xfId="52" applyNumberFormat="1" applyFont="1">
      <alignment/>
      <protection/>
    </xf>
    <xf numFmtId="4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2" fillId="37" borderId="10" xfId="50" applyFont="1" applyFill="1" applyBorder="1" applyAlignment="1">
      <alignment wrapText="1"/>
      <protection/>
    </xf>
    <xf numFmtId="0" fontId="2" fillId="0" borderId="30" xfId="50" applyFont="1" applyFill="1" applyBorder="1" applyAlignment="1">
      <alignment wrapText="1"/>
      <protection/>
    </xf>
    <xf numFmtId="4" fontId="6" fillId="0" borderId="25" xfId="50" applyNumberFormat="1" applyFont="1" applyBorder="1">
      <alignment/>
      <protection/>
    </xf>
    <xf numFmtId="4" fontId="5" fillId="36" borderId="14" xfId="50" applyNumberFormat="1" applyFont="1" applyFill="1" applyBorder="1">
      <alignment/>
      <protection/>
    </xf>
    <xf numFmtId="4" fontId="5" fillId="33" borderId="31" xfId="50" applyNumberFormat="1" applyFont="1" applyFill="1" applyBorder="1">
      <alignment/>
      <protection/>
    </xf>
    <xf numFmtId="4" fontId="6" fillId="35" borderId="14" xfId="50" applyNumberFormat="1" applyFont="1" applyFill="1" applyBorder="1">
      <alignment/>
      <protection/>
    </xf>
    <xf numFmtId="4" fontId="6" fillId="0" borderId="14" xfId="50" applyNumberFormat="1" applyFont="1" applyBorder="1">
      <alignment/>
      <protection/>
    </xf>
    <xf numFmtId="4" fontId="6" fillId="0" borderId="0" xfId="50" applyNumberFormat="1" applyFont="1" applyBorder="1">
      <alignment/>
      <protection/>
    </xf>
    <xf numFmtId="0" fontId="2" fillId="36" borderId="18" xfId="50" applyFont="1" applyFill="1" applyBorder="1">
      <alignment/>
      <protection/>
    </xf>
    <xf numFmtId="0" fontId="23" fillId="0" borderId="0" xfId="52" applyFont="1" applyFill="1">
      <alignment/>
      <protection/>
    </xf>
    <xf numFmtId="4" fontId="2" fillId="0" borderId="32" xfId="50" applyNumberFormat="1" applyFont="1" applyBorder="1">
      <alignment/>
      <protection/>
    </xf>
    <xf numFmtId="4" fontId="5" fillId="33" borderId="13" xfId="50" applyNumberFormat="1" applyFont="1" applyFill="1" applyBorder="1">
      <alignment/>
      <protection/>
    </xf>
    <xf numFmtId="4" fontId="6" fillId="35" borderId="18" xfId="50" applyNumberFormat="1" applyFont="1" applyFill="1" applyBorder="1">
      <alignment/>
      <protection/>
    </xf>
    <xf numFmtId="4" fontId="6" fillId="0" borderId="18" xfId="50" applyNumberFormat="1" applyFont="1" applyBorder="1">
      <alignment/>
      <protection/>
    </xf>
    <xf numFmtId="4" fontId="5" fillId="0" borderId="12" xfId="50" applyNumberFormat="1" applyFont="1" applyBorder="1">
      <alignment/>
      <protection/>
    </xf>
    <xf numFmtId="4" fontId="6" fillId="35" borderId="33" xfId="50" applyNumberFormat="1" applyFont="1" applyFill="1" applyBorder="1">
      <alignment/>
      <protection/>
    </xf>
    <xf numFmtId="4" fontId="2" fillId="0" borderId="12" xfId="50" applyNumberFormat="1" applyFont="1" applyFill="1" applyBorder="1" applyAlignment="1">
      <alignment wrapText="1"/>
      <protection/>
    </xf>
    <xf numFmtId="4" fontId="2" fillId="37" borderId="12" xfId="50" applyNumberFormat="1" applyFont="1" applyFill="1" applyBorder="1">
      <alignment/>
      <protection/>
    </xf>
    <xf numFmtId="4" fontId="5" fillId="0" borderId="12" xfId="50" applyNumberFormat="1" applyFont="1" applyFill="1" applyBorder="1">
      <alignment/>
      <protection/>
    </xf>
    <xf numFmtId="4" fontId="2" fillId="0" borderId="34" xfId="50" applyNumberFormat="1" applyFont="1" applyBorder="1">
      <alignment/>
      <protection/>
    </xf>
    <xf numFmtId="4" fontId="6" fillId="0" borderId="35" xfId="50" applyNumberFormat="1" applyFont="1" applyBorder="1">
      <alignment/>
      <protection/>
    </xf>
    <xf numFmtId="4" fontId="2" fillId="0" borderId="11" xfId="50" applyNumberFormat="1" applyFont="1" applyBorder="1">
      <alignment/>
      <protection/>
    </xf>
    <xf numFmtId="0" fontId="6" fillId="36" borderId="18" xfId="50" applyFont="1" applyFill="1" applyBorder="1">
      <alignment/>
      <protection/>
    </xf>
    <xf numFmtId="0" fontId="7" fillId="36" borderId="18" xfId="50" applyFont="1" applyFill="1" applyBorder="1">
      <alignment/>
      <protection/>
    </xf>
    <xf numFmtId="0" fontId="5" fillId="0" borderId="15" xfId="50" applyFont="1" applyFill="1" applyBorder="1">
      <alignment/>
      <protection/>
    </xf>
    <xf numFmtId="0" fontId="2" fillId="0" borderId="36" xfId="50" applyFont="1" applyFill="1" applyBorder="1">
      <alignment/>
      <protection/>
    </xf>
    <xf numFmtId="0" fontId="6" fillId="0" borderId="14" xfId="50" applyFont="1" applyBorder="1">
      <alignment/>
      <protection/>
    </xf>
    <xf numFmtId="0" fontId="6" fillId="35" borderId="14" xfId="50" applyFont="1" applyFill="1" applyBorder="1">
      <alignment/>
      <protection/>
    </xf>
    <xf numFmtId="0" fontId="6" fillId="33" borderId="14" xfId="50" applyFont="1" applyFill="1" applyBorder="1" applyAlignment="1">
      <alignment wrapText="1"/>
      <protection/>
    </xf>
    <xf numFmtId="49" fontId="7" fillId="0" borderId="12" xfId="50" applyNumberFormat="1" applyFont="1" applyFill="1" applyBorder="1" applyAlignment="1">
      <alignment horizontal="right"/>
      <protection/>
    </xf>
    <xf numFmtId="49" fontId="5" fillId="36" borderId="14" xfId="50" applyNumberFormat="1" applyFont="1" applyFill="1" applyBorder="1">
      <alignment/>
      <protection/>
    </xf>
    <xf numFmtId="49" fontId="5" fillId="33" borderId="31" xfId="50" applyNumberFormat="1" applyFont="1" applyFill="1" applyBorder="1">
      <alignment/>
      <protection/>
    </xf>
    <xf numFmtId="4" fontId="2" fillId="0" borderId="37" xfId="50" applyNumberFormat="1" applyFont="1" applyFill="1" applyBorder="1">
      <alignment/>
      <protection/>
    </xf>
    <xf numFmtId="4" fontId="2" fillId="0" borderId="37" xfId="50" applyNumberFormat="1" applyFont="1" applyBorder="1">
      <alignment/>
      <protection/>
    </xf>
    <xf numFmtId="4" fontId="2" fillId="0" borderId="38" xfId="50" applyNumberFormat="1" applyFont="1" applyBorder="1">
      <alignment/>
      <protection/>
    </xf>
    <xf numFmtId="4" fontId="2" fillId="37" borderId="12" xfId="52" applyNumberFormat="1" applyFont="1" applyFill="1" applyBorder="1">
      <alignment/>
      <protection/>
    </xf>
    <xf numFmtId="4" fontId="2" fillId="0" borderId="39" xfId="50" applyNumberFormat="1" applyFont="1" applyFill="1" applyBorder="1">
      <alignment/>
      <protection/>
    </xf>
    <xf numFmtId="4" fontId="2" fillId="0" borderId="31" xfId="50" applyNumberFormat="1" applyFont="1" applyBorder="1">
      <alignment/>
      <protection/>
    </xf>
    <xf numFmtId="4" fontId="6" fillId="0" borderId="18" xfId="50" applyNumberFormat="1" applyFont="1" applyBorder="1" applyAlignment="1">
      <alignment horizontal="center"/>
      <protection/>
    </xf>
    <xf numFmtId="4" fontId="6" fillId="38" borderId="18" xfId="50" applyNumberFormat="1" applyFont="1" applyFill="1" applyBorder="1">
      <alignment/>
      <protection/>
    </xf>
    <xf numFmtId="4" fontId="2" fillId="0" borderId="30" xfId="50" applyNumberFormat="1" applyFont="1" applyFill="1" applyBorder="1">
      <alignment/>
      <protection/>
    </xf>
    <xf numFmtId="4" fontId="2" fillId="0" borderId="10" xfId="50" applyNumberFormat="1" applyFont="1" applyBorder="1">
      <alignment/>
      <protection/>
    </xf>
    <xf numFmtId="4" fontId="2" fillId="0" borderId="13" xfId="50" applyNumberFormat="1" applyFont="1" applyBorder="1">
      <alignment/>
      <protection/>
    </xf>
    <xf numFmtId="4" fontId="6" fillId="39" borderId="18" xfId="50" applyNumberFormat="1" applyFont="1" applyFill="1" applyBorder="1">
      <alignment/>
      <protection/>
    </xf>
    <xf numFmtId="4" fontId="6" fillId="0" borderId="14" xfId="50" applyNumberFormat="1" applyFont="1" applyBorder="1" applyAlignment="1">
      <alignment horizontal="center"/>
      <protection/>
    </xf>
    <xf numFmtId="4" fontId="2" fillId="0" borderId="31" xfId="50" applyNumberFormat="1" applyFont="1" applyFill="1" applyBorder="1">
      <alignment/>
      <protection/>
    </xf>
    <xf numFmtId="4" fontId="6" fillId="0" borderId="35" xfId="50" applyNumberFormat="1" applyFont="1" applyBorder="1" applyAlignment="1">
      <alignment horizontal="center"/>
      <protection/>
    </xf>
    <xf numFmtId="4" fontId="6" fillId="38" borderId="35" xfId="50" applyNumberFormat="1" applyFont="1" applyFill="1" applyBorder="1">
      <alignment/>
      <protection/>
    </xf>
    <xf numFmtId="4" fontId="2" fillId="0" borderId="0" xfId="50" applyNumberFormat="1" applyFont="1" applyFill="1" applyBorder="1">
      <alignment/>
      <protection/>
    </xf>
    <xf numFmtId="4" fontId="25" fillId="0" borderId="0" xfId="52" applyNumberFormat="1" applyFont="1">
      <alignment/>
      <protection/>
    </xf>
    <xf numFmtId="49" fontId="2" fillId="0" borderId="12" xfId="50" applyNumberFormat="1" applyFont="1" applyFill="1" applyBorder="1" applyAlignment="1">
      <alignment horizontal="left"/>
      <protection/>
    </xf>
    <xf numFmtId="49" fontId="2" fillId="0" borderId="12" xfId="50" applyNumberFormat="1" applyFont="1" applyFill="1" applyBorder="1" applyAlignment="1">
      <alignment horizontal="left" wrapText="1"/>
      <protection/>
    </xf>
    <xf numFmtId="4" fontId="23" fillId="0" borderId="0" xfId="52" applyNumberFormat="1" applyFont="1" applyFill="1">
      <alignment/>
      <protection/>
    </xf>
    <xf numFmtId="4" fontId="23" fillId="0" borderId="0" xfId="52" applyNumberFormat="1" applyFont="1">
      <alignment/>
      <protection/>
    </xf>
    <xf numFmtId="4" fontId="0" fillId="0" borderId="0" xfId="0" applyNumberFormat="1" applyFont="1" applyAlignment="1">
      <alignment/>
    </xf>
    <xf numFmtId="4" fontId="6" fillId="0" borderId="0" xfId="50" applyNumberFormat="1" applyFont="1">
      <alignment/>
      <protection/>
    </xf>
    <xf numFmtId="4" fontId="5" fillId="39" borderId="14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4" fontId="2" fillId="0" borderId="0" xfId="50" applyNumberFormat="1" applyFont="1">
      <alignment/>
      <protection/>
    </xf>
    <xf numFmtId="4" fontId="6" fillId="0" borderId="0" xfId="50" applyNumberFormat="1" applyFont="1">
      <alignment/>
      <protection/>
    </xf>
    <xf numFmtId="4" fontId="17" fillId="0" borderId="0" xfId="50" applyNumberFormat="1" applyFont="1">
      <alignment/>
      <protection/>
    </xf>
    <xf numFmtId="4" fontId="6" fillId="34" borderId="14" xfId="52" applyNumberFormat="1" applyFont="1" applyFill="1" applyBorder="1" applyAlignment="1">
      <alignment horizontal="center"/>
      <protection/>
    </xf>
    <xf numFmtId="4" fontId="7" fillId="34" borderId="14" xfId="53" applyNumberFormat="1" applyFont="1" applyFill="1" applyBorder="1" applyAlignment="1">
      <alignment wrapText="1"/>
      <protection/>
    </xf>
    <xf numFmtId="4" fontId="8" fillId="0" borderId="28" xfId="52" applyNumberFormat="1" applyFont="1" applyBorder="1">
      <alignment/>
      <protection/>
    </xf>
    <xf numFmtId="4" fontId="8" fillId="0" borderId="28" xfId="52" applyNumberFormat="1" applyFont="1" applyBorder="1">
      <alignment/>
      <protection/>
    </xf>
    <xf numFmtId="4" fontId="24" fillId="0" borderId="0" xfId="52" applyNumberFormat="1" applyFont="1">
      <alignment/>
      <protection/>
    </xf>
    <xf numFmtId="4" fontId="2" fillId="0" borderId="0" xfId="52" applyNumberFormat="1" applyFill="1">
      <alignment/>
      <protection/>
    </xf>
    <xf numFmtId="4" fontId="9" fillId="0" borderId="0" xfId="52" applyNumberFormat="1" applyFont="1">
      <alignment/>
      <protection/>
    </xf>
    <xf numFmtId="4" fontId="2" fillId="34" borderId="0" xfId="52" applyNumberFormat="1" applyFill="1">
      <alignment/>
      <protection/>
    </xf>
    <xf numFmtId="4" fontId="6" fillId="34" borderId="0" xfId="52" applyNumberFormat="1" applyFont="1" applyFill="1">
      <alignment/>
      <protection/>
    </xf>
    <xf numFmtId="4" fontId="99" fillId="0" borderId="0" xfId="0" applyNumberFormat="1" applyFont="1" applyAlignment="1">
      <alignment/>
    </xf>
    <xf numFmtId="4" fontId="28" fillId="34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16" fillId="37" borderId="0" xfId="50" applyNumberFormat="1" applyFont="1" applyFill="1">
      <alignment/>
      <protection/>
    </xf>
    <xf numFmtId="49" fontId="2" fillId="37" borderId="12" xfId="50" applyNumberFormat="1" applyFont="1" applyFill="1" applyBorder="1" applyAlignment="1">
      <alignment horizontal="left"/>
      <protection/>
    </xf>
    <xf numFmtId="49" fontId="5" fillId="0" borderId="12" xfId="50" applyNumberFormat="1" applyFont="1" applyFill="1" applyBorder="1" applyAlignment="1">
      <alignment horizontal="left"/>
      <protection/>
    </xf>
    <xf numFmtId="49" fontId="2" fillId="37" borderId="12" xfId="50" applyNumberFormat="1" applyFont="1" applyFill="1" applyBorder="1" applyAlignment="1">
      <alignment horizontal="left" wrapText="1"/>
      <protection/>
    </xf>
    <xf numFmtId="49" fontId="2" fillId="37" borderId="27" xfId="50" applyNumberFormat="1" applyFont="1" applyFill="1" applyBorder="1" applyAlignment="1">
      <alignment horizontal="left"/>
      <protection/>
    </xf>
    <xf numFmtId="4" fontId="12" fillId="34" borderId="30" xfId="52" applyNumberFormat="1" applyFont="1" applyFill="1" applyBorder="1" applyAlignment="1">
      <alignment horizontal="left" vertical="center" wrapText="1"/>
      <protection/>
    </xf>
    <xf numFmtId="4" fontId="12" fillId="35" borderId="21" xfId="52" applyNumberFormat="1" applyFont="1" applyFill="1" applyBorder="1">
      <alignment/>
      <protection/>
    </xf>
    <xf numFmtId="4" fontId="32" fillId="41" borderId="12" xfId="52" applyNumberFormat="1" applyFont="1" applyFill="1" applyBorder="1" applyAlignment="1">
      <alignment horizontal="left" vertical="center" wrapText="1"/>
      <protection/>
    </xf>
    <xf numFmtId="4" fontId="32" fillId="0" borderId="12" xfId="52" applyNumberFormat="1" applyFont="1" applyBorder="1" applyAlignment="1">
      <alignment horizontal="left" vertical="center" wrapText="1"/>
      <protection/>
    </xf>
    <xf numFmtId="4" fontId="5" fillId="37" borderId="0" xfId="52" applyNumberFormat="1" applyFont="1" applyFill="1">
      <alignment/>
      <protection/>
    </xf>
    <xf numFmtId="0" fontId="5" fillId="37" borderId="0" xfId="52" applyFont="1" applyFill="1">
      <alignment/>
      <protection/>
    </xf>
    <xf numFmtId="4" fontId="12" fillId="41" borderId="18" xfId="52" applyNumberFormat="1" applyFont="1" applyFill="1" applyBorder="1" applyAlignment="1">
      <alignment horizontal="left" vertical="center" wrapText="1"/>
      <protection/>
    </xf>
    <xf numFmtId="4" fontId="12" fillId="42" borderId="18" xfId="52" applyNumberFormat="1" applyFont="1" applyFill="1" applyBorder="1" applyAlignment="1">
      <alignment horizontal="left" vertical="center" wrapText="1"/>
      <protection/>
    </xf>
    <xf numFmtId="4" fontId="32" fillId="0" borderId="17" xfId="52" applyNumberFormat="1" applyFont="1" applyBorder="1" applyAlignment="1">
      <alignment horizontal="left" vertical="center" wrapText="1"/>
      <protection/>
    </xf>
    <xf numFmtId="49" fontId="2" fillId="0" borderId="16" xfId="50" applyNumberFormat="1" applyFont="1" applyFill="1" applyBorder="1" applyAlignment="1">
      <alignment horizontal="left"/>
      <protection/>
    </xf>
    <xf numFmtId="4" fontId="2" fillId="0" borderId="15" xfId="50" applyNumberFormat="1" applyFont="1" applyFill="1" applyBorder="1">
      <alignment/>
      <protection/>
    </xf>
    <xf numFmtId="4" fontId="2" fillId="0" borderId="40" xfId="50" applyNumberFormat="1" applyFont="1" applyFill="1" applyBorder="1">
      <alignment/>
      <protection/>
    </xf>
    <xf numFmtId="4" fontId="2" fillId="0" borderId="41" xfId="50" applyNumberFormat="1" applyFont="1" applyFill="1" applyBorder="1">
      <alignment/>
      <protection/>
    </xf>
    <xf numFmtId="4" fontId="6" fillId="0" borderId="26" xfId="50" applyNumberFormat="1" applyFont="1" applyFill="1" applyBorder="1">
      <alignment/>
      <protection/>
    </xf>
    <xf numFmtId="4" fontId="6" fillId="33" borderId="19" xfId="50" applyNumberFormat="1" applyFont="1" applyFill="1" applyBorder="1">
      <alignment/>
      <protection/>
    </xf>
    <xf numFmtId="49" fontId="2" fillId="0" borderId="16" xfId="50" applyNumberFormat="1" applyFont="1" applyFill="1" applyBorder="1" applyAlignment="1">
      <alignment horizontal="right"/>
      <protection/>
    </xf>
    <xf numFmtId="0" fontId="6" fillId="0" borderId="40" xfId="50" applyFont="1" applyFill="1" applyBorder="1">
      <alignment/>
      <protection/>
    </xf>
    <xf numFmtId="49" fontId="2" fillId="0" borderId="40" xfId="50" applyNumberFormat="1" applyFont="1" applyFill="1" applyBorder="1" applyAlignment="1">
      <alignment horizontal="right"/>
      <protection/>
    </xf>
    <xf numFmtId="0" fontId="7" fillId="36" borderId="12" xfId="50" applyFont="1" applyFill="1" applyBorder="1">
      <alignment/>
      <protection/>
    </xf>
    <xf numFmtId="0" fontId="2" fillId="0" borderId="17" xfId="50" applyFont="1" applyFill="1" applyBorder="1">
      <alignment/>
      <protection/>
    </xf>
    <xf numFmtId="0" fontId="2" fillId="0" borderId="21" xfId="50" applyFont="1" applyFill="1" applyBorder="1">
      <alignment/>
      <protection/>
    </xf>
    <xf numFmtId="0" fontId="6" fillId="0" borderId="33" xfId="50" applyFont="1" applyFill="1" applyBorder="1">
      <alignment/>
      <protection/>
    </xf>
    <xf numFmtId="4" fontId="2" fillId="0" borderId="33" xfId="50" applyNumberFormat="1" applyFont="1" applyFill="1" applyBorder="1">
      <alignment/>
      <protection/>
    </xf>
    <xf numFmtId="4" fontId="13" fillId="0" borderId="0" xfId="52" applyNumberFormat="1" applyFont="1">
      <alignment/>
      <protection/>
    </xf>
    <xf numFmtId="4" fontId="5" fillId="0" borderId="0" xfId="52" applyNumberFormat="1" applyFont="1">
      <alignment/>
      <protection/>
    </xf>
    <xf numFmtId="4" fontId="13" fillId="37" borderId="0" xfId="52" applyNumberFormat="1" applyFont="1" applyFill="1">
      <alignment/>
      <protection/>
    </xf>
    <xf numFmtId="4" fontId="2" fillId="0" borderId="0" xfId="52" applyNumberFormat="1" applyFont="1" applyFill="1">
      <alignment/>
      <protection/>
    </xf>
    <xf numFmtId="49" fontId="2" fillId="0" borderId="12" xfId="50" applyNumberFormat="1" applyFont="1" applyFill="1" applyBorder="1">
      <alignment/>
      <protection/>
    </xf>
    <xf numFmtId="49" fontId="2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4" fontId="2" fillId="34" borderId="17" xfId="50" applyNumberFormat="1" applyFont="1" applyFill="1" applyBorder="1">
      <alignment/>
      <protection/>
    </xf>
    <xf numFmtId="4" fontId="6" fillId="0" borderId="17" xfId="50" applyNumberFormat="1" applyFont="1" applyFill="1" applyBorder="1">
      <alignment/>
      <protection/>
    </xf>
    <xf numFmtId="4" fontId="2" fillId="0" borderId="17" xfId="50" applyNumberFormat="1" applyFont="1" applyFill="1" applyBorder="1" applyAlignment="1">
      <alignment wrapText="1"/>
      <protection/>
    </xf>
    <xf numFmtId="4" fontId="7" fillId="0" borderId="12" xfId="50" applyNumberFormat="1" applyFont="1" applyFill="1" applyBorder="1">
      <alignment/>
      <protection/>
    </xf>
    <xf numFmtId="4" fontId="2" fillId="0" borderId="12" xfId="50" applyNumberFormat="1" applyFont="1" applyFill="1" applyBorder="1">
      <alignment/>
      <protection/>
    </xf>
    <xf numFmtId="4" fontId="2" fillId="0" borderId="12" xfId="0" applyNumberFormat="1" applyFont="1" applyBorder="1" applyAlignment="1">
      <alignment/>
    </xf>
    <xf numFmtId="4" fontId="7" fillId="0" borderId="27" xfId="50" applyNumberFormat="1" applyFont="1" applyFill="1" applyBorder="1">
      <alignment/>
      <protection/>
    </xf>
    <xf numFmtId="4" fontId="100" fillId="0" borderId="12" xfId="50" applyNumberFormat="1" applyFont="1" applyBorder="1">
      <alignment/>
      <protection/>
    </xf>
    <xf numFmtId="4" fontId="16" fillId="0" borderId="12" xfId="50" applyNumberFormat="1" applyFont="1" applyFill="1" applyBorder="1">
      <alignment/>
      <protection/>
    </xf>
    <xf numFmtId="0" fontId="5" fillId="0" borderId="15" xfId="51" applyFont="1" applyFill="1" applyBorder="1">
      <alignment/>
      <protection/>
    </xf>
    <xf numFmtId="49" fontId="2" fillId="0" borderId="12" xfId="0" applyNumberFormat="1" applyFont="1" applyBorder="1" applyAlignment="1">
      <alignment horizontal="left"/>
    </xf>
    <xf numFmtId="4" fontId="0" fillId="43" borderId="15" xfId="53" applyNumberFormat="1" applyFont="1" applyFill="1" applyBorder="1" applyAlignment="1">
      <alignment horizontal="left" vertical="center" wrapText="1"/>
      <protection/>
    </xf>
    <xf numFmtId="4" fontId="0" fillId="19" borderId="15" xfId="53" applyNumberFormat="1" applyFont="1" applyFill="1" applyBorder="1" applyAlignment="1">
      <alignment horizontal="left" vertical="center" wrapText="1"/>
      <protection/>
    </xf>
    <xf numFmtId="4" fontId="10" fillId="37" borderId="35" xfId="52" applyNumberFormat="1" applyFont="1" applyFill="1" applyBorder="1" applyAlignment="1">
      <alignment horizontal="center"/>
      <protection/>
    </xf>
    <xf numFmtId="4" fontId="34" fillId="44" borderId="18" xfId="53" applyNumberFormat="1" applyFont="1" applyFill="1" applyBorder="1" applyAlignment="1">
      <alignment horizontal="left" vertical="center" wrapText="1"/>
      <protection/>
    </xf>
    <xf numFmtId="4" fontId="0" fillId="36" borderId="15" xfId="53" applyNumberFormat="1" applyFont="1" applyFill="1" applyBorder="1" applyAlignment="1">
      <alignment horizontal="left" vertical="center" wrapText="1"/>
      <protection/>
    </xf>
    <xf numFmtId="4" fontId="0" fillId="45" borderId="10" xfId="53" applyNumberFormat="1" applyFont="1" applyFill="1" applyBorder="1" applyAlignment="1">
      <alignment horizontal="left" vertical="center" wrapText="1"/>
      <protection/>
    </xf>
    <xf numFmtId="4" fontId="0" fillId="46" borderId="10" xfId="53" applyNumberFormat="1" applyFont="1" applyFill="1" applyBorder="1" applyAlignment="1">
      <alignment horizontal="left" vertical="center" wrapText="1"/>
      <protection/>
    </xf>
    <xf numFmtId="4" fontId="0" fillId="47" borderId="10" xfId="53" applyNumberFormat="1" applyFont="1" applyFill="1" applyBorder="1" applyAlignment="1">
      <alignment horizontal="left" vertical="center" wrapText="1"/>
      <protection/>
    </xf>
    <xf numFmtId="4" fontId="0" fillId="47" borderId="15" xfId="53" applyNumberFormat="1" applyFont="1" applyFill="1" applyBorder="1" applyAlignment="1">
      <alignment horizontal="left" vertical="center" wrapText="1"/>
      <protection/>
    </xf>
    <xf numFmtId="4" fontId="34" fillId="48" borderId="18" xfId="53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Border="1" applyAlignment="1">
      <alignment horizontal="right"/>
      <protection/>
    </xf>
    <xf numFmtId="4" fontId="6" fillId="0" borderId="28" xfId="52" applyNumberFormat="1" applyFont="1" applyBorder="1" applyAlignment="1">
      <alignment horizontal="center"/>
      <protection/>
    </xf>
    <xf numFmtId="4" fontId="6" fillId="16" borderId="14" xfId="52" applyNumberFormat="1" applyFont="1" applyFill="1" applyBorder="1" applyAlignment="1">
      <alignment horizontal="center"/>
      <protection/>
    </xf>
    <xf numFmtId="4" fontId="0" fillId="43" borderId="30" xfId="53" applyNumberFormat="1" applyFont="1" applyFill="1" applyBorder="1" applyAlignment="1">
      <alignment horizontal="left" vertical="center" wrapText="1"/>
      <protection/>
    </xf>
    <xf numFmtId="4" fontId="12" fillId="34" borderId="18" xfId="52" applyNumberFormat="1" applyFont="1" applyFill="1" applyBorder="1" applyAlignment="1">
      <alignment horizontal="left" vertical="center" wrapText="1"/>
      <protection/>
    </xf>
    <xf numFmtId="4" fontId="32" fillId="0" borderId="30" xfId="52" applyNumberFormat="1" applyFont="1" applyBorder="1" applyAlignment="1">
      <alignment horizontal="left" vertical="center" wrapText="1"/>
      <protection/>
    </xf>
    <xf numFmtId="4" fontId="12" fillId="49" borderId="18" xfId="52" applyNumberFormat="1" applyFont="1" applyFill="1" applyBorder="1" applyAlignment="1">
      <alignment horizontal="left" vertical="center" wrapText="1"/>
      <protection/>
    </xf>
    <xf numFmtId="4" fontId="12" fillId="33" borderId="42" xfId="52" applyNumberFormat="1" applyFont="1" applyFill="1" applyBorder="1" applyAlignment="1">
      <alignment horizontal="left" vertical="center" wrapText="1"/>
      <protection/>
    </xf>
    <xf numFmtId="4" fontId="12" fillId="36" borderId="18" xfId="52" applyNumberFormat="1" applyFont="1" applyFill="1" applyBorder="1" applyAlignment="1">
      <alignment horizontal="left" vertical="center" wrapText="1"/>
      <protection/>
    </xf>
    <xf numFmtId="4" fontId="12" fillId="33" borderId="18" xfId="52" applyNumberFormat="1" applyFont="1" applyFill="1" applyBorder="1" applyAlignment="1">
      <alignment horizontal="left" vertical="center" wrapText="1"/>
      <protection/>
    </xf>
    <xf numFmtId="4" fontId="12" fillId="33" borderId="18" xfId="52" applyNumberFormat="1" applyFont="1" applyFill="1" applyBorder="1" applyAlignment="1">
      <alignment horizontal="left" vertical="center" wrapText="1"/>
      <protection/>
    </xf>
    <xf numFmtId="4" fontId="12" fillId="10" borderId="18" xfId="52" applyNumberFormat="1" applyFont="1" applyFill="1" applyBorder="1">
      <alignment/>
      <protection/>
    </xf>
    <xf numFmtId="4" fontId="12" fillId="10" borderId="30" xfId="52" applyNumberFormat="1" applyFont="1" applyFill="1" applyBorder="1" applyAlignment="1">
      <alignment horizontal="left" vertical="center" wrapText="1"/>
      <protection/>
    </xf>
    <xf numFmtId="4" fontId="12" fillId="10" borderId="18" xfId="52" applyNumberFormat="1" applyFont="1" applyFill="1" applyBorder="1" applyAlignment="1">
      <alignment horizontal="left" vertical="center" wrapText="1"/>
      <protection/>
    </xf>
    <xf numFmtId="4" fontId="12" fillId="50" borderId="18" xfId="52" applyNumberFormat="1" applyFont="1" applyFill="1" applyBorder="1" applyAlignment="1">
      <alignment horizontal="left" vertical="center" wrapText="1"/>
      <protection/>
    </xf>
    <xf numFmtId="4" fontId="0" fillId="34" borderId="10" xfId="53" applyNumberFormat="1" applyFont="1" applyFill="1" applyBorder="1" applyAlignment="1">
      <alignment horizontal="left" vertical="center" wrapText="1"/>
      <protection/>
    </xf>
    <xf numFmtId="4" fontId="0" fillId="0" borderId="10" xfId="53" applyNumberFormat="1" applyFont="1" applyBorder="1" applyAlignment="1">
      <alignment horizontal="left" vertical="center" wrapText="1"/>
      <protection/>
    </xf>
    <xf numFmtId="4" fontId="2" fillId="0" borderId="12" xfId="50" applyNumberFormat="1" applyFont="1" applyBorder="1">
      <alignment/>
      <protection/>
    </xf>
    <xf numFmtId="0" fontId="5" fillId="0" borderId="30" xfId="51" applyFont="1" applyFill="1" applyBorder="1">
      <alignment/>
      <protection/>
    </xf>
    <xf numFmtId="0" fontId="2" fillId="0" borderId="15" xfId="51" applyFont="1" applyFill="1" applyBorder="1" applyAlignment="1">
      <alignment wrapText="1"/>
      <protection/>
    </xf>
    <xf numFmtId="49" fontId="2" fillId="0" borderId="12" xfId="51" applyNumberFormat="1" applyFont="1" applyFill="1" applyBorder="1">
      <alignment/>
      <protection/>
    </xf>
    <xf numFmtId="4" fontId="2" fillId="0" borderId="12" xfId="51" applyNumberFormat="1" applyFont="1" applyFill="1" applyBorder="1" applyAlignment="1">
      <alignment wrapText="1"/>
      <protection/>
    </xf>
    <xf numFmtId="4" fontId="2" fillId="0" borderId="12" xfId="51" applyNumberFormat="1" applyFont="1" applyFill="1" applyBorder="1">
      <alignment/>
      <protection/>
    </xf>
    <xf numFmtId="0" fontId="2" fillId="0" borderId="22" xfId="50" applyFont="1" applyFill="1" applyBorder="1" applyAlignment="1">
      <alignment horizontal="left"/>
      <protection/>
    </xf>
    <xf numFmtId="4" fontId="101" fillId="0" borderId="17" xfId="50" applyNumberFormat="1" applyFont="1" applyFill="1" applyBorder="1">
      <alignment/>
      <protection/>
    </xf>
    <xf numFmtId="4" fontId="101" fillId="0" borderId="17" xfId="50" applyNumberFormat="1" applyFont="1" applyFill="1" applyBorder="1" applyAlignment="1">
      <alignment wrapText="1"/>
      <protection/>
    </xf>
    <xf numFmtId="49" fontId="2" fillId="37" borderId="12" xfId="50" applyNumberFormat="1" applyFont="1" applyFill="1" applyBorder="1">
      <alignment/>
      <protection/>
    </xf>
    <xf numFmtId="4" fontId="100" fillId="37" borderId="17" xfId="50" applyNumberFormat="1" applyFont="1" applyFill="1" applyBorder="1">
      <alignment/>
      <protection/>
    </xf>
    <xf numFmtId="4" fontId="18" fillId="0" borderId="17" xfId="50" applyNumberFormat="1" applyFont="1" applyFill="1" applyBorder="1" applyAlignment="1">
      <alignment wrapText="1"/>
      <protection/>
    </xf>
    <xf numFmtId="4" fontId="2" fillId="0" borderId="17" xfId="50" applyNumberFormat="1" applyFont="1" applyFill="1" applyBorder="1" applyAlignment="1">
      <alignment wrapText="1"/>
      <protection/>
    </xf>
    <xf numFmtId="4" fontId="2" fillId="0" borderId="17" xfId="50" applyNumberFormat="1" applyFont="1" applyFill="1" applyBorder="1">
      <alignment/>
      <protection/>
    </xf>
    <xf numFmtId="4" fontId="2" fillId="0" borderId="10" xfId="50" applyNumberFormat="1" applyFont="1" applyFill="1" applyBorder="1">
      <alignment/>
      <protection/>
    </xf>
    <xf numFmtId="4" fontId="2" fillId="0" borderId="10" xfId="51" applyNumberFormat="1" applyFont="1" applyFill="1" applyBorder="1">
      <alignment/>
      <protection/>
    </xf>
    <xf numFmtId="4" fontId="6" fillId="37" borderId="10" xfId="50" applyNumberFormat="1" applyFont="1" applyFill="1" applyBorder="1">
      <alignment/>
      <protection/>
    </xf>
    <xf numFmtId="4" fontId="6" fillId="0" borderId="10" xfId="50" applyNumberFormat="1" applyFont="1" applyFill="1" applyBorder="1">
      <alignment/>
      <protection/>
    </xf>
    <xf numFmtId="4" fontId="7" fillId="0" borderId="10" xfId="50" applyNumberFormat="1" applyFont="1" applyFill="1" applyBorder="1">
      <alignment/>
      <protection/>
    </xf>
    <xf numFmtId="4" fontId="16" fillId="0" borderId="10" xfId="50" applyNumberFormat="1" applyFont="1" applyFill="1" applyBorder="1">
      <alignment/>
      <protection/>
    </xf>
    <xf numFmtId="4" fontId="2" fillId="0" borderId="16" xfId="51" applyNumberFormat="1" applyFont="1" applyFill="1" applyBorder="1">
      <alignment/>
      <protection/>
    </xf>
    <xf numFmtId="4" fontId="2" fillId="37" borderId="16" xfId="50" applyNumberFormat="1" applyFont="1" applyFill="1" applyBorder="1">
      <alignment/>
      <protection/>
    </xf>
    <xf numFmtId="4" fontId="5" fillId="0" borderId="16" xfId="50" applyNumberFormat="1" applyFont="1" applyFill="1" applyBorder="1">
      <alignment/>
      <protection/>
    </xf>
    <xf numFmtId="4" fontId="100" fillId="0" borderId="16" xfId="50" applyNumberFormat="1" applyFont="1" applyBorder="1">
      <alignment/>
      <protection/>
    </xf>
    <xf numFmtId="4" fontId="5" fillId="0" borderId="27" xfId="50" applyNumberFormat="1" applyFont="1" applyFill="1" applyBorder="1">
      <alignment/>
      <protection/>
    </xf>
    <xf numFmtId="4" fontId="2" fillId="0" borderId="33" xfId="51" applyNumberFormat="1" applyFont="1" applyFill="1" applyBorder="1">
      <alignment/>
      <protection/>
    </xf>
    <xf numFmtId="4" fontId="0" fillId="0" borderId="12" xfId="0" applyNumberFormat="1" applyFont="1" applyBorder="1" applyAlignment="1">
      <alignment/>
    </xf>
    <xf numFmtId="4" fontId="2" fillId="37" borderId="17" xfId="50" applyNumberFormat="1" applyFont="1" applyFill="1" applyBorder="1">
      <alignment/>
      <protection/>
    </xf>
    <xf numFmtId="4" fontId="6" fillId="51" borderId="0" xfId="0" applyNumberFormat="1" applyFont="1" applyFill="1" applyAlignment="1">
      <alignment/>
    </xf>
    <xf numFmtId="4" fontId="2" fillId="37" borderId="21" xfId="50" applyNumberFormat="1" applyFont="1" applyFill="1" applyBorder="1">
      <alignment/>
      <protection/>
    </xf>
    <xf numFmtId="4" fontId="35" fillId="0" borderId="0" xfId="52" applyNumberFormat="1" applyFont="1" applyBorder="1" applyAlignment="1">
      <alignment horizontal="center" vertical="center"/>
      <protection/>
    </xf>
    <xf numFmtId="4" fontId="36" fillId="0" borderId="28" xfId="52" applyNumberFormat="1" applyFont="1" applyBorder="1" applyAlignment="1">
      <alignment vertical="center"/>
      <protection/>
    </xf>
    <xf numFmtId="4" fontId="7" fillId="0" borderId="0" xfId="52" applyNumberFormat="1" applyFont="1" applyAlignment="1">
      <alignment vertical="center"/>
      <protection/>
    </xf>
    <xf numFmtId="4" fontId="4" fillId="0" borderId="0" xfId="52" applyNumberFormat="1" applyFont="1" applyBorder="1" applyAlignment="1">
      <alignment horizontal="left"/>
      <protection/>
    </xf>
    <xf numFmtId="4" fontId="8" fillId="0" borderId="28" xfId="52" applyNumberFormat="1" applyFont="1" applyBorder="1" applyAlignment="1">
      <alignment horizontal="left"/>
      <protection/>
    </xf>
    <xf numFmtId="4" fontId="9" fillId="0" borderId="18" xfId="52" applyNumberFormat="1" applyFont="1" applyBorder="1" applyAlignment="1">
      <alignment horizontal="left"/>
      <protection/>
    </xf>
    <xf numFmtId="4" fontId="60" fillId="34" borderId="31" xfId="33" applyNumberFormat="1" applyFont="1" applyFill="1" applyBorder="1" applyAlignment="1">
      <alignment horizontal="right" vertical="center"/>
    </xf>
    <xf numFmtId="4" fontId="60" fillId="34" borderId="28" xfId="33" applyNumberFormat="1" applyFont="1" applyFill="1" applyBorder="1" applyAlignment="1">
      <alignment horizontal="right" vertical="center"/>
    </xf>
    <xf numFmtId="4" fontId="60" fillId="37" borderId="31" xfId="33" applyNumberFormat="1" applyFont="1" applyFill="1" applyBorder="1" applyAlignment="1">
      <alignment horizontal="right" vertical="center"/>
    </xf>
    <xf numFmtId="4" fontId="23" fillId="0" borderId="0" xfId="33" applyNumberFormat="1" applyFont="1" applyAlignment="1">
      <alignment/>
    </xf>
    <xf numFmtId="4" fontId="61" fillId="34" borderId="14" xfId="33" applyNumberFormat="1" applyFont="1" applyFill="1" applyBorder="1" applyAlignment="1">
      <alignment horizontal="right" vertical="center"/>
    </xf>
    <xf numFmtId="4" fontId="61" fillId="34" borderId="35" xfId="33" applyNumberFormat="1" applyFont="1" applyFill="1" applyBorder="1" applyAlignment="1">
      <alignment horizontal="right" vertical="center"/>
    </xf>
    <xf numFmtId="4" fontId="2" fillId="0" borderId="0" xfId="33" applyNumberFormat="1" applyFont="1" applyAlignment="1">
      <alignment/>
    </xf>
    <xf numFmtId="4" fontId="60" fillId="34" borderId="14" xfId="33" applyNumberFormat="1" applyFont="1" applyFill="1" applyBorder="1" applyAlignment="1">
      <alignment horizontal="right" vertical="center"/>
    </xf>
    <xf numFmtId="4" fontId="60" fillId="34" borderId="35" xfId="33" applyNumberFormat="1" applyFont="1" applyFill="1" applyBorder="1" applyAlignment="1">
      <alignment horizontal="right" vertical="center"/>
    </xf>
    <xf numFmtId="4" fontId="62" fillId="35" borderId="14" xfId="33" applyNumberFormat="1" applyFont="1" applyFill="1" applyBorder="1" applyAlignment="1">
      <alignment horizontal="right" vertical="center"/>
    </xf>
    <xf numFmtId="4" fontId="62" fillId="35" borderId="35" xfId="33" applyNumberFormat="1" applyFont="1" applyFill="1" applyBorder="1" applyAlignment="1">
      <alignment horizontal="right" vertical="center"/>
    </xf>
    <xf numFmtId="4" fontId="63" fillId="35" borderId="31" xfId="33" applyNumberFormat="1" applyFont="1" applyFill="1" applyBorder="1" applyAlignment="1">
      <alignment horizontal="right" vertical="center"/>
    </xf>
    <xf numFmtId="4" fontId="13" fillId="0" borderId="0" xfId="33" applyNumberFormat="1" applyFont="1" applyAlignment="1">
      <alignment/>
    </xf>
    <xf numFmtId="4" fontId="60" fillId="49" borderId="14" xfId="33" applyNumberFormat="1" applyFont="1" applyFill="1" applyBorder="1" applyAlignment="1">
      <alignment horizontal="right" vertical="center"/>
    </xf>
    <xf numFmtId="4" fontId="60" fillId="49" borderId="35" xfId="33" applyNumberFormat="1" applyFont="1" applyFill="1" applyBorder="1" applyAlignment="1">
      <alignment horizontal="right" vertical="center"/>
    </xf>
    <xf numFmtId="4" fontId="63" fillId="33" borderId="43" xfId="33" applyNumberFormat="1" applyFont="1" applyFill="1" applyBorder="1" applyAlignment="1">
      <alignment horizontal="right" vertical="center" wrapText="1"/>
    </xf>
    <xf numFmtId="4" fontId="63" fillId="33" borderId="24" xfId="33" applyNumberFormat="1" applyFont="1" applyFill="1" applyBorder="1" applyAlignment="1">
      <alignment horizontal="right" vertical="center" wrapText="1"/>
    </xf>
    <xf numFmtId="4" fontId="61" fillId="36" borderId="14" xfId="33" applyNumberFormat="1" applyFont="1" applyFill="1" applyBorder="1" applyAlignment="1">
      <alignment horizontal="right" vertical="center"/>
    </xf>
    <xf numFmtId="4" fontId="61" fillId="36" borderId="35" xfId="33" applyNumberFormat="1" applyFont="1" applyFill="1" applyBorder="1" applyAlignment="1">
      <alignment horizontal="right" vertical="center"/>
    </xf>
    <xf numFmtId="4" fontId="64" fillId="36" borderId="35" xfId="33" applyNumberFormat="1" applyFont="1" applyFill="1" applyBorder="1" applyAlignment="1">
      <alignment horizontal="right" vertical="center"/>
    </xf>
    <xf numFmtId="4" fontId="63" fillId="36" borderId="14" xfId="33" applyNumberFormat="1" applyFont="1" applyFill="1" applyBorder="1" applyAlignment="1">
      <alignment horizontal="right" vertical="center"/>
    </xf>
    <xf numFmtId="4" fontId="63" fillId="36" borderId="35" xfId="33" applyNumberFormat="1" applyFont="1" applyFill="1" applyBorder="1" applyAlignment="1">
      <alignment horizontal="right" vertical="center"/>
    </xf>
    <xf numFmtId="4" fontId="64" fillId="36" borderId="14" xfId="33" applyNumberFormat="1" applyFont="1" applyFill="1" applyBorder="1" applyAlignment="1">
      <alignment horizontal="right" vertical="center"/>
    </xf>
    <xf numFmtId="4" fontId="25" fillId="0" borderId="0" xfId="33" applyNumberFormat="1" applyFont="1" applyAlignment="1">
      <alignment/>
    </xf>
    <xf numFmtId="4" fontId="61" fillId="19" borderId="17" xfId="33" applyNumberFormat="1" applyFont="1" applyFill="1" applyBorder="1" applyAlignment="1">
      <alignment horizontal="right" vertical="center"/>
    </xf>
    <xf numFmtId="4" fontId="5" fillId="0" borderId="0" xfId="33" applyNumberFormat="1" applyFont="1" applyAlignment="1">
      <alignment/>
    </xf>
    <xf numFmtId="4" fontId="62" fillId="0" borderId="17" xfId="33" applyNumberFormat="1" applyFont="1" applyFill="1" applyBorder="1" applyAlignment="1">
      <alignment horizontal="right" vertical="center"/>
    </xf>
    <xf numFmtId="4" fontId="62" fillId="0" borderId="41" xfId="33" applyNumberFormat="1" applyFont="1" applyFill="1" applyBorder="1" applyAlignment="1">
      <alignment horizontal="right" vertical="center"/>
    </xf>
    <xf numFmtId="4" fontId="65" fillId="37" borderId="17" xfId="33" applyNumberFormat="1" applyFont="1" applyFill="1" applyBorder="1" applyAlignment="1">
      <alignment horizontal="right" vertical="center"/>
    </xf>
    <xf numFmtId="4" fontId="66" fillId="0" borderId="12" xfId="33" applyNumberFormat="1" applyFont="1" applyBorder="1" applyAlignment="1">
      <alignment horizontal="right" vertical="center"/>
    </xf>
    <xf numFmtId="4" fontId="5" fillId="51" borderId="0" xfId="33" applyNumberFormat="1" applyFont="1" applyFill="1" applyAlignment="1">
      <alignment/>
    </xf>
    <xf numFmtId="4" fontId="67" fillId="43" borderId="17" xfId="33" applyNumberFormat="1" applyFont="1" applyFill="1" applyBorder="1" applyAlignment="1">
      <alignment horizontal="right" vertical="center"/>
    </xf>
    <xf numFmtId="4" fontId="67" fillId="43" borderId="41" xfId="33" applyNumberFormat="1" applyFont="1" applyFill="1" applyBorder="1" applyAlignment="1">
      <alignment horizontal="right" vertical="center"/>
    </xf>
    <xf numFmtId="4" fontId="61" fillId="43" borderId="17" xfId="33" applyNumberFormat="1" applyFont="1" applyFill="1" applyBorder="1" applyAlignment="1">
      <alignment horizontal="right" vertical="center"/>
    </xf>
    <xf numFmtId="4" fontId="67" fillId="43" borderId="26" xfId="33" applyNumberFormat="1" applyFont="1" applyFill="1" applyBorder="1" applyAlignment="1">
      <alignment horizontal="right" vertical="center"/>
    </xf>
    <xf numFmtId="4" fontId="67" fillId="43" borderId="0" xfId="33" applyNumberFormat="1" applyFont="1" applyFill="1" applyBorder="1" applyAlignment="1">
      <alignment horizontal="right" vertical="center"/>
    </xf>
    <xf numFmtId="4" fontId="61" fillId="43" borderId="26" xfId="33" applyNumberFormat="1" applyFont="1" applyFill="1" applyBorder="1" applyAlignment="1">
      <alignment horizontal="right" vertical="center"/>
    </xf>
    <xf numFmtId="4" fontId="67" fillId="41" borderId="14" xfId="33" applyNumberFormat="1" applyFont="1" applyFill="1" applyBorder="1" applyAlignment="1">
      <alignment horizontal="right" vertical="center"/>
    </xf>
    <xf numFmtId="4" fontId="67" fillId="41" borderId="35" xfId="33" applyNumberFormat="1" applyFont="1" applyFill="1" applyBorder="1" applyAlignment="1">
      <alignment horizontal="right" vertical="center"/>
    </xf>
    <xf numFmtId="4" fontId="63" fillId="41" borderId="14" xfId="33" applyNumberFormat="1" applyFont="1" applyFill="1" applyBorder="1" applyAlignment="1">
      <alignment horizontal="right" vertical="center"/>
    </xf>
    <xf numFmtId="4" fontId="63" fillId="41" borderId="35" xfId="33" applyNumberFormat="1" applyFont="1" applyFill="1" applyBorder="1" applyAlignment="1">
      <alignment horizontal="right" vertical="center"/>
    </xf>
    <xf numFmtId="4" fontId="62" fillId="0" borderId="0" xfId="33" applyNumberFormat="1" applyFont="1" applyFill="1" applyBorder="1" applyAlignment="1">
      <alignment horizontal="right" vertical="center"/>
    </xf>
    <xf numFmtId="4" fontId="66" fillId="0" borderId="17" xfId="33" applyNumberFormat="1" applyFont="1" applyBorder="1" applyAlignment="1">
      <alignment horizontal="right" vertical="center"/>
    </xf>
    <xf numFmtId="4" fontId="24" fillId="0" borderId="0" xfId="33" applyNumberFormat="1" applyFont="1" applyAlignment="1">
      <alignment/>
    </xf>
    <xf numFmtId="4" fontId="62" fillId="0" borderId="12" xfId="33" applyNumberFormat="1" applyFont="1" applyFill="1" applyBorder="1" applyAlignment="1">
      <alignment horizontal="right" vertical="center"/>
    </xf>
    <xf numFmtId="4" fontId="62" fillId="0" borderId="37" xfId="33" applyNumberFormat="1" applyFont="1" applyFill="1" applyBorder="1" applyAlignment="1">
      <alignment horizontal="right" vertical="center"/>
    </xf>
    <xf numFmtId="4" fontId="62" fillId="37" borderId="12" xfId="33" applyNumberFormat="1" applyFont="1" applyFill="1" applyBorder="1" applyAlignment="1">
      <alignment horizontal="right" vertical="center"/>
    </xf>
    <xf numFmtId="4" fontId="5" fillId="37" borderId="0" xfId="33" applyNumberFormat="1" applyFont="1" applyFill="1" applyAlignment="1">
      <alignment/>
    </xf>
    <xf numFmtId="4" fontId="62" fillId="0" borderId="27" xfId="33" applyNumberFormat="1" applyFont="1" applyFill="1" applyBorder="1" applyAlignment="1">
      <alignment horizontal="right" vertical="center"/>
    </xf>
    <xf numFmtId="4" fontId="62" fillId="0" borderId="38" xfId="33" applyNumberFormat="1" applyFont="1" applyFill="1" applyBorder="1" applyAlignment="1">
      <alignment horizontal="right" vertical="center"/>
    </xf>
    <xf numFmtId="4" fontId="66" fillId="0" borderId="27" xfId="33" applyNumberFormat="1" applyFont="1" applyBorder="1" applyAlignment="1">
      <alignment horizontal="right" vertical="center"/>
    </xf>
    <xf numFmtId="4" fontId="61" fillId="38" borderId="35" xfId="33" applyNumberFormat="1" applyFont="1" applyFill="1" applyBorder="1" applyAlignment="1">
      <alignment horizontal="right" vertical="center"/>
    </xf>
    <xf numFmtId="4" fontId="63" fillId="38" borderId="14" xfId="33" applyNumberFormat="1" applyFont="1" applyFill="1" applyBorder="1" applyAlignment="1">
      <alignment horizontal="right" vertical="center"/>
    </xf>
    <xf numFmtId="4" fontId="67" fillId="0" borderId="17" xfId="33" applyNumberFormat="1" applyFont="1" applyFill="1" applyBorder="1" applyAlignment="1">
      <alignment horizontal="right" vertical="center"/>
    </xf>
    <xf numFmtId="4" fontId="67" fillId="0" borderId="41" xfId="33" applyNumberFormat="1" applyFont="1" applyFill="1" applyBorder="1" applyAlignment="1">
      <alignment horizontal="right" vertical="center"/>
    </xf>
    <xf numFmtId="4" fontId="13" fillId="37" borderId="0" xfId="33" applyNumberFormat="1" applyFont="1" applyFill="1" applyAlignment="1">
      <alignment/>
    </xf>
    <xf numFmtId="4" fontId="66" fillId="0" borderId="37" xfId="33" applyNumberFormat="1" applyFont="1" applyBorder="1" applyAlignment="1">
      <alignment horizontal="right" vertical="center"/>
    </xf>
    <xf numFmtId="4" fontId="67" fillId="0" borderId="12" xfId="33" applyNumberFormat="1" applyFont="1" applyFill="1" applyBorder="1" applyAlignment="1">
      <alignment horizontal="right" vertical="center"/>
    </xf>
    <xf numFmtId="4" fontId="67" fillId="0" borderId="37" xfId="33" applyNumberFormat="1" applyFont="1" applyFill="1" applyBorder="1" applyAlignment="1">
      <alignment horizontal="right" vertical="center"/>
    </xf>
    <xf numFmtId="4" fontId="68" fillId="0" borderId="12" xfId="33" applyNumberFormat="1" applyFont="1" applyFill="1" applyBorder="1" applyAlignment="1">
      <alignment horizontal="right" vertical="center"/>
    </xf>
    <xf numFmtId="4" fontId="67" fillId="0" borderId="27" xfId="33" applyNumberFormat="1" applyFont="1" applyFill="1" applyBorder="1" applyAlignment="1">
      <alignment horizontal="right" vertical="center"/>
    </xf>
    <xf numFmtId="4" fontId="67" fillId="0" borderId="38" xfId="33" applyNumberFormat="1" applyFont="1" applyFill="1" applyBorder="1" applyAlignment="1">
      <alignment horizontal="right" vertical="center"/>
    </xf>
    <xf numFmtId="4" fontId="68" fillId="0" borderId="17" xfId="33" applyNumberFormat="1" applyFont="1" applyFill="1" applyBorder="1" applyAlignment="1">
      <alignment horizontal="right" vertical="center"/>
    </xf>
    <xf numFmtId="4" fontId="62" fillId="34" borderId="0" xfId="33" applyNumberFormat="1" applyFont="1" applyFill="1" applyBorder="1" applyAlignment="1">
      <alignment horizontal="right" vertical="center"/>
    </xf>
    <xf numFmtId="4" fontId="62" fillId="34" borderId="26" xfId="33" applyNumberFormat="1" applyFont="1" applyFill="1" applyBorder="1" applyAlignment="1">
      <alignment horizontal="right" vertical="center"/>
    </xf>
    <xf numFmtId="4" fontId="63" fillId="34" borderId="26" xfId="33" applyNumberFormat="1" applyFont="1" applyFill="1" applyBorder="1" applyAlignment="1">
      <alignment horizontal="right" vertical="center"/>
    </xf>
    <xf numFmtId="4" fontId="63" fillId="33" borderId="14" xfId="33" applyNumberFormat="1" applyFont="1" applyFill="1" applyBorder="1" applyAlignment="1">
      <alignment horizontal="right" vertical="center"/>
    </xf>
    <xf numFmtId="4" fontId="63" fillId="33" borderId="35" xfId="33" applyNumberFormat="1" applyFont="1" applyFill="1" applyBorder="1" applyAlignment="1">
      <alignment horizontal="right" vertical="center"/>
    </xf>
    <xf numFmtId="4" fontId="12" fillId="34" borderId="18" xfId="53" applyNumberFormat="1" applyFont="1" applyFill="1" applyBorder="1" applyAlignment="1">
      <alignment horizontal="center" vertical="center" wrapText="1"/>
      <protection/>
    </xf>
    <xf numFmtId="4" fontId="63" fillId="0" borderId="14" xfId="33" applyNumberFormat="1" applyFont="1" applyFill="1" applyBorder="1" applyAlignment="1">
      <alignment horizontal="right" vertical="center"/>
    </xf>
    <xf numFmtId="4" fontId="64" fillId="0" borderId="35" xfId="33" applyNumberFormat="1" applyFont="1" applyFill="1" applyBorder="1" applyAlignment="1">
      <alignment horizontal="right" vertical="center"/>
    </xf>
    <xf numFmtId="4" fontId="62" fillId="0" borderId="14" xfId="33" applyNumberFormat="1" applyFont="1" applyFill="1" applyBorder="1" applyAlignment="1">
      <alignment horizontal="right" vertical="center"/>
    </xf>
    <xf numFmtId="4" fontId="64" fillId="0" borderId="14" xfId="33" applyNumberFormat="1" applyFont="1" applyFill="1" applyBorder="1" applyAlignment="1">
      <alignment horizontal="right" vertical="center"/>
    </xf>
    <xf numFmtId="4" fontId="67" fillId="0" borderId="33" xfId="33" applyNumberFormat="1" applyFont="1" applyFill="1" applyBorder="1" applyAlignment="1">
      <alignment horizontal="right" vertical="center"/>
    </xf>
    <xf numFmtId="4" fontId="67" fillId="0" borderId="44" xfId="33" applyNumberFormat="1" applyFont="1" applyFill="1" applyBorder="1" applyAlignment="1">
      <alignment horizontal="right" vertical="center"/>
    </xf>
    <xf numFmtId="4" fontId="63" fillId="0" borderId="17" xfId="33" applyNumberFormat="1" applyFont="1" applyFill="1" applyBorder="1" applyAlignment="1">
      <alignment horizontal="right" vertical="center"/>
    </xf>
    <xf numFmtId="4" fontId="63" fillId="33" borderId="14" xfId="33" applyNumberFormat="1" applyFont="1" applyFill="1" applyBorder="1" applyAlignment="1">
      <alignment horizontal="right" vertical="center" wrapText="1"/>
    </xf>
    <xf numFmtId="4" fontId="6" fillId="0" borderId="0" xfId="33" applyNumberFormat="1" applyFont="1" applyAlignment="1">
      <alignment/>
    </xf>
    <xf numFmtId="4" fontId="67" fillId="0" borderId="26" xfId="33" applyNumberFormat="1" applyFont="1" applyFill="1" applyBorder="1" applyAlignment="1">
      <alignment horizontal="right" vertical="center"/>
    </xf>
    <xf numFmtId="4" fontId="63" fillId="33" borderId="35" xfId="33" applyNumberFormat="1" applyFont="1" applyFill="1" applyBorder="1" applyAlignment="1">
      <alignment horizontal="right" vertical="center" wrapText="1"/>
    </xf>
    <xf numFmtId="4" fontId="32" fillId="0" borderId="45" xfId="53" applyNumberFormat="1" applyFont="1" applyFill="1" applyBorder="1" applyAlignment="1">
      <alignment horizontal="left" vertical="center" wrapText="1"/>
      <protection/>
    </xf>
    <xf numFmtId="4" fontId="62" fillId="0" borderId="33" xfId="33" applyNumberFormat="1" applyFont="1" applyFill="1" applyBorder="1" applyAlignment="1">
      <alignment horizontal="right" vertical="center"/>
    </xf>
    <xf numFmtId="4" fontId="62" fillId="0" borderId="44" xfId="33" applyNumberFormat="1" applyFont="1" applyFill="1" applyBorder="1" applyAlignment="1">
      <alignment horizontal="right" vertical="center"/>
    </xf>
    <xf numFmtId="4" fontId="68" fillId="0" borderId="33" xfId="33" applyNumberFormat="1" applyFont="1" applyFill="1" applyBorder="1" applyAlignment="1">
      <alignment horizontal="right" vertical="center"/>
    </xf>
    <xf numFmtId="4" fontId="100" fillId="0" borderId="0" xfId="33" applyNumberFormat="1" applyFont="1" applyFill="1" applyAlignment="1">
      <alignment/>
    </xf>
    <xf numFmtId="4" fontId="32" fillId="0" borderId="10" xfId="53" applyNumberFormat="1" applyFont="1" applyFill="1" applyBorder="1" applyAlignment="1">
      <alignment horizontal="left" vertical="center" wrapText="1"/>
      <protection/>
    </xf>
    <xf numFmtId="4" fontId="69" fillId="0" borderId="17" xfId="33" applyNumberFormat="1" applyFont="1" applyBorder="1" applyAlignment="1">
      <alignment horizontal="right" vertical="center"/>
    </xf>
    <xf numFmtId="4" fontId="2" fillId="0" borderId="0" xfId="33" applyNumberFormat="1" applyFont="1" applyFill="1" applyAlignment="1">
      <alignment/>
    </xf>
    <xf numFmtId="4" fontId="61" fillId="44" borderId="35" xfId="33" applyNumberFormat="1" applyFont="1" applyFill="1" applyBorder="1" applyAlignment="1">
      <alignment horizontal="right" vertical="center"/>
    </xf>
    <xf numFmtId="4" fontId="61" fillId="44" borderId="14" xfId="33" applyNumberFormat="1" applyFont="1" applyFill="1" applyBorder="1" applyAlignment="1">
      <alignment horizontal="right" vertical="center"/>
    </xf>
    <xf numFmtId="4" fontId="23" fillId="0" borderId="0" xfId="33" applyNumberFormat="1" applyFont="1" applyFill="1" applyAlignment="1">
      <alignment/>
    </xf>
    <xf numFmtId="4" fontId="61" fillId="9" borderId="14" xfId="33" applyNumberFormat="1" applyFont="1" applyFill="1" applyBorder="1" applyAlignment="1">
      <alignment horizontal="right" vertical="center" wrapText="1"/>
    </xf>
    <xf numFmtId="4" fontId="61" fillId="9" borderId="35" xfId="33" applyNumberFormat="1" applyFont="1" applyFill="1" applyBorder="1" applyAlignment="1">
      <alignment horizontal="right" vertical="center" wrapText="1"/>
    </xf>
    <xf numFmtId="4" fontId="67" fillId="36" borderId="12" xfId="33" applyNumberFormat="1" applyFont="1" applyFill="1" applyBorder="1" applyAlignment="1">
      <alignment horizontal="right" vertical="center"/>
    </xf>
    <xf numFmtId="4" fontId="67" fillId="36" borderId="37" xfId="33" applyNumberFormat="1" applyFont="1" applyFill="1" applyBorder="1" applyAlignment="1">
      <alignment horizontal="right" vertical="center"/>
    </xf>
    <xf numFmtId="4" fontId="67" fillId="36" borderId="17" xfId="33" applyNumberFormat="1" applyFont="1" applyFill="1" applyBorder="1" applyAlignment="1">
      <alignment horizontal="right" vertical="center"/>
    </xf>
    <xf numFmtId="4" fontId="62" fillId="24" borderId="37" xfId="33" applyNumberFormat="1" applyFont="1" applyFill="1" applyBorder="1" applyAlignment="1">
      <alignment horizontal="right" vertical="center"/>
    </xf>
    <xf numFmtId="4" fontId="62" fillId="24" borderId="12" xfId="33" applyNumberFormat="1" applyFont="1" applyFill="1" applyBorder="1" applyAlignment="1">
      <alignment horizontal="right" vertical="center"/>
    </xf>
    <xf numFmtId="4" fontId="63" fillId="24" borderId="12" xfId="33" applyNumberFormat="1" applyFont="1" applyFill="1" applyBorder="1" applyAlignment="1">
      <alignment horizontal="right" vertical="center"/>
    </xf>
    <xf numFmtId="4" fontId="67" fillId="45" borderId="12" xfId="33" applyNumberFormat="1" applyFont="1" applyFill="1" applyBorder="1" applyAlignment="1">
      <alignment horizontal="right" vertical="center"/>
    </xf>
    <xf numFmtId="4" fontId="67" fillId="45" borderId="37" xfId="33" applyNumberFormat="1" applyFont="1" applyFill="1" applyBorder="1" applyAlignment="1">
      <alignment horizontal="right" vertical="center"/>
    </xf>
    <xf numFmtId="4" fontId="67" fillId="45" borderId="17" xfId="33" applyNumberFormat="1" applyFont="1" applyFill="1" applyBorder="1" applyAlignment="1">
      <alignment horizontal="right" vertical="center"/>
    </xf>
    <xf numFmtId="4" fontId="67" fillId="52" borderId="12" xfId="33" applyNumberFormat="1" applyFont="1" applyFill="1" applyBorder="1" applyAlignment="1">
      <alignment horizontal="right" vertical="center"/>
    </xf>
    <xf numFmtId="4" fontId="62" fillId="52" borderId="37" xfId="33" applyNumberFormat="1" applyFont="1" applyFill="1" applyBorder="1" applyAlignment="1">
      <alignment horizontal="right" vertical="center"/>
    </xf>
    <xf numFmtId="4" fontId="62" fillId="52" borderId="12" xfId="33" applyNumberFormat="1" applyFont="1" applyFill="1" applyBorder="1" applyAlignment="1">
      <alignment horizontal="right" vertical="center"/>
    </xf>
    <xf numFmtId="4" fontId="63" fillId="52" borderId="12" xfId="33" applyNumberFormat="1" applyFont="1" applyFill="1" applyBorder="1" applyAlignment="1">
      <alignment horizontal="right" vertical="center"/>
    </xf>
    <xf numFmtId="4" fontId="67" fillId="46" borderId="12" xfId="33" applyNumberFormat="1" applyFont="1" applyFill="1" applyBorder="1" applyAlignment="1">
      <alignment horizontal="right" vertical="center"/>
    </xf>
    <xf numFmtId="4" fontId="67" fillId="46" borderId="37" xfId="33" applyNumberFormat="1" applyFont="1" applyFill="1" applyBorder="1" applyAlignment="1">
      <alignment horizontal="right" vertical="center"/>
    </xf>
    <xf numFmtId="4" fontId="67" fillId="46" borderId="17" xfId="33" applyNumberFormat="1" applyFont="1" applyFill="1" applyBorder="1" applyAlignment="1">
      <alignment horizontal="right" vertical="center"/>
    </xf>
    <xf numFmtId="4" fontId="62" fillId="46" borderId="37" xfId="33" applyNumberFormat="1" applyFont="1" applyFill="1" applyBorder="1" applyAlignment="1">
      <alignment horizontal="right" vertical="center"/>
    </xf>
    <xf numFmtId="4" fontId="62" fillId="46" borderId="12" xfId="33" applyNumberFormat="1" applyFont="1" applyFill="1" applyBorder="1" applyAlignment="1">
      <alignment horizontal="right" vertical="center"/>
    </xf>
    <xf numFmtId="4" fontId="63" fillId="46" borderId="12" xfId="33" applyNumberFormat="1" applyFont="1" applyFill="1" applyBorder="1" applyAlignment="1">
      <alignment horizontal="right" vertical="center"/>
    </xf>
    <xf numFmtId="4" fontId="67" fillId="47" borderId="12" xfId="33" applyNumberFormat="1" applyFont="1" applyFill="1" applyBorder="1" applyAlignment="1">
      <alignment horizontal="right" vertical="center"/>
    </xf>
    <xf numFmtId="4" fontId="67" fillId="47" borderId="37" xfId="33" applyNumberFormat="1" applyFont="1" applyFill="1" applyBorder="1" applyAlignment="1">
      <alignment horizontal="right" vertical="center"/>
    </xf>
    <xf numFmtId="4" fontId="67" fillId="53" borderId="12" xfId="33" applyNumberFormat="1" applyFont="1" applyFill="1" applyBorder="1" applyAlignment="1">
      <alignment horizontal="right" vertical="center"/>
    </xf>
    <xf numFmtId="4" fontId="62" fillId="53" borderId="37" xfId="33" applyNumberFormat="1" applyFont="1" applyFill="1" applyBorder="1" applyAlignment="1">
      <alignment horizontal="right" vertical="center"/>
    </xf>
    <xf numFmtId="4" fontId="62" fillId="53" borderId="12" xfId="33" applyNumberFormat="1" applyFont="1" applyFill="1" applyBorder="1" applyAlignment="1">
      <alignment horizontal="right" vertical="center"/>
    </xf>
    <xf numFmtId="4" fontId="63" fillId="53" borderId="12" xfId="33" applyNumberFormat="1" applyFont="1" applyFill="1" applyBorder="1" applyAlignment="1">
      <alignment horizontal="right" vertical="center"/>
    </xf>
    <xf numFmtId="4" fontId="63" fillId="53" borderId="37" xfId="33" applyNumberFormat="1" applyFont="1" applyFill="1" applyBorder="1" applyAlignment="1">
      <alignment horizontal="right" vertical="center"/>
    </xf>
    <xf numFmtId="4" fontId="63" fillId="53" borderId="17" xfId="33" applyNumberFormat="1" applyFont="1" applyFill="1" applyBorder="1" applyAlignment="1">
      <alignment horizontal="right" vertical="center" wrapText="1"/>
    </xf>
    <xf numFmtId="4" fontId="67" fillId="37" borderId="12" xfId="33" applyNumberFormat="1" applyFont="1" applyFill="1" applyBorder="1" applyAlignment="1">
      <alignment horizontal="right" vertical="center"/>
    </xf>
    <xf numFmtId="4" fontId="63" fillId="0" borderId="12" xfId="33" applyNumberFormat="1" applyFont="1" applyFill="1" applyBorder="1" applyAlignment="1">
      <alignment horizontal="right" vertical="center" wrapText="1"/>
    </xf>
    <xf numFmtId="4" fontId="62" fillId="10" borderId="14" xfId="33" applyNumberFormat="1" applyFont="1" applyFill="1" applyBorder="1" applyAlignment="1">
      <alignment horizontal="right" vertical="center"/>
    </xf>
    <xf numFmtId="4" fontId="62" fillId="10" borderId="35" xfId="33" applyNumberFormat="1" applyFont="1" applyFill="1" applyBorder="1" applyAlignment="1">
      <alignment horizontal="right" vertical="center"/>
    </xf>
    <xf numFmtId="4" fontId="63" fillId="10" borderId="14" xfId="33" applyNumberFormat="1" applyFont="1" applyFill="1" applyBorder="1" applyAlignment="1">
      <alignment horizontal="right" vertical="center"/>
    </xf>
    <xf numFmtId="4" fontId="62" fillId="10" borderId="26" xfId="33" applyNumberFormat="1" applyFont="1" applyFill="1" applyBorder="1" applyAlignment="1">
      <alignment horizontal="right" vertical="center"/>
    </xf>
    <xf numFmtId="4" fontId="62" fillId="10" borderId="0" xfId="33" applyNumberFormat="1" applyFont="1" applyFill="1" applyBorder="1" applyAlignment="1">
      <alignment horizontal="right" vertical="center"/>
    </xf>
    <xf numFmtId="4" fontId="63" fillId="10" borderId="26" xfId="33" applyNumberFormat="1" applyFont="1" applyFill="1" applyBorder="1" applyAlignment="1">
      <alignment horizontal="right" vertical="center"/>
    </xf>
    <xf numFmtId="4" fontId="61" fillId="10" borderId="12" xfId="33" applyNumberFormat="1" applyFont="1" applyFill="1" applyBorder="1" applyAlignment="1">
      <alignment horizontal="right" vertical="center"/>
    </xf>
    <xf numFmtId="4" fontId="60" fillId="50" borderId="14" xfId="33" applyNumberFormat="1" applyFont="1" applyFill="1" applyBorder="1" applyAlignment="1">
      <alignment horizontal="right" vertical="center"/>
    </xf>
    <xf numFmtId="4" fontId="9" fillId="0" borderId="0" xfId="33" applyNumberFormat="1" applyFont="1" applyAlignment="1">
      <alignment/>
    </xf>
    <xf numFmtId="4" fontId="15" fillId="34" borderId="17" xfId="33" applyNumberFormat="1" applyFont="1" applyFill="1" applyBorder="1" applyAlignment="1">
      <alignment/>
    </xf>
    <xf numFmtId="4" fontId="15" fillId="34" borderId="40" xfId="33" applyNumberFormat="1" applyFont="1" applyFill="1" applyBorder="1" applyAlignment="1">
      <alignment/>
    </xf>
    <xf numFmtId="4" fontId="15" fillId="34" borderId="41" xfId="33" applyNumberFormat="1" applyFont="1" applyFill="1" applyBorder="1" applyAlignment="1">
      <alignment/>
    </xf>
    <xf numFmtId="4" fontId="31" fillId="34" borderId="40" xfId="33" applyNumberFormat="1" applyFont="1" applyFill="1" applyBorder="1" applyAlignment="1">
      <alignment vertical="center"/>
    </xf>
    <xf numFmtId="4" fontId="15" fillId="37" borderId="15" xfId="33" applyNumberFormat="1" applyFont="1" applyFill="1" applyBorder="1" applyAlignment="1">
      <alignment/>
    </xf>
    <xf numFmtId="4" fontId="14" fillId="0" borderId="17" xfId="33" applyNumberFormat="1" applyFont="1" applyFill="1" applyBorder="1" applyAlignment="1">
      <alignment/>
    </xf>
    <xf numFmtId="4" fontId="2" fillId="0" borderId="26" xfId="33" applyNumberFormat="1" applyFont="1" applyFill="1" applyBorder="1" applyAlignment="1">
      <alignment/>
    </xf>
    <xf numFmtId="4" fontId="2" fillId="0" borderId="39" xfId="33" applyNumberFormat="1" applyFont="1" applyFill="1" applyBorder="1" applyAlignment="1">
      <alignment/>
    </xf>
    <xf numFmtId="4" fontId="2" fillId="0" borderId="0" xfId="33" applyNumberFormat="1" applyFont="1" applyFill="1" applyBorder="1" applyAlignment="1">
      <alignment/>
    </xf>
    <xf numFmtId="4" fontId="15" fillId="34" borderId="37" xfId="33" applyNumberFormat="1" applyFont="1" applyFill="1" applyBorder="1" applyAlignment="1">
      <alignment/>
    </xf>
    <xf numFmtId="4" fontId="31" fillId="34" borderId="16" xfId="33" applyNumberFormat="1" applyFont="1" applyFill="1" applyBorder="1" applyAlignment="1">
      <alignment vertical="center"/>
    </xf>
    <xf numFmtId="4" fontId="15" fillId="34" borderId="12" xfId="33" applyNumberFormat="1" applyFont="1" applyFill="1" applyBorder="1" applyAlignment="1">
      <alignment/>
    </xf>
    <xf numFmtId="4" fontId="15" fillId="34" borderId="10" xfId="33" applyNumberFormat="1" applyFont="1" applyFill="1" applyBorder="1" applyAlignment="1">
      <alignment/>
    </xf>
    <xf numFmtId="4" fontId="14" fillId="34" borderId="12" xfId="33" applyNumberFormat="1" applyFont="1" applyFill="1" applyBorder="1" applyAlignment="1">
      <alignment/>
    </xf>
    <xf numFmtId="4" fontId="15" fillId="54" borderId="12" xfId="33" applyNumberFormat="1" applyFont="1" applyFill="1" applyBorder="1" applyAlignment="1">
      <alignment/>
    </xf>
    <xf numFmtId="4" fontId="15" fillId="54" borderId="16" xfId="33" applyNumberFormat="1" applyFont="1" applyFill="1" applyBorder="1" applyAlignment="1">
      <alignment/>
    </xf>
    <xf numFmtId="4" fontId="15" fillId="41" borderId="37" xfId="33" applyNumberFormat="1" applyFont="1" applyFill="1" applyBorder="1" applyAlignment="1">
      <alignment/>
    </xf>
    <xf numFmtId="4" fontId="15" fillId="41" borderId="12" xfId="33" applyNumberFormat="1" applyFont="1" applyFill="1" applyBorder="1" applyAlignment="1">
      <alignment/>
    </xf>
    <xf numFmtId="4" fontId="15" fillId="54" borderId="11" xfId="33" applyNumberFormat="1" applyFont="1" applyFill="1" applyBorder="1" applyAlignment="1">
      <alignment/>
    </xf>
    <xf numFmtId="4" fontId="14" fillId="54" borderId="27" xfId="33" applyNumberFormat="1" applyFont="1" applyFill="1" applyBorder="1" applyAlignment="1">
      <alignment/>
    </xf>
    <xf numFmtId="4" fontId="15" fillId="34" borderId="21" xfId="33" applyNumberFormat="1" applyFont="1" applyFill="1" applyBorder="1" applyAlignment="1">
      <alignment/>
    </xf>
    <xf numFmtId="4" fontId="15" fillId="34" borderId="16" xfId="33" applyNumberFormat="1" applyFont="1" applyFill="1" applyBorder="1" applyAlignment="1">
      <alignment/>
    </xf>
    <xf numFmtId="4" fontId="15" fillId="34" borderId="11" xfId="33" applyNumberFormat="1" applyFont="1" applyFill="1" applyBorder="1" applyAlignment="1">
      <alignment/>
    </xf>
    <xf numFmtId="4" fontId="14" fillId="34" borderId="27" xfId="33" applyNumberFormat="1" applyFont="1" applyFill="1" applyBorder="1" applyAlignment="1">
      <alignment/>
    </xf>
    <xf numFmtId="4" fontId="2" fillId="35" borderId="31" xfId="33" applyNumberFormat="1" applyFont="1" applyFill="1" applyBorder="1" applyAlignment="1">
      <alignment/>
    </xf>
    <xf numFmtId="4" fontId="2" fillId="35" borderId="22" xfId="33" applyNumberFormat="1" applyFont="1" applyFill="1" applyBorder="1" applyAlignment="1">
      <alignment/>
    </xf>
    <xf numFmtId="4" fontId="2" fillId="35" borderId="34" xfId="33" applyNumberFormat="1" applyFont="1" applyFill="1" applyBorder="1" applyAlignment="1">
      <alignment/>
    </xf>
    <xf numFmtId="4" fontId="2" fillId="35" borderId="21" xfId="33" applyNumberFormat="1" applyFont="1" applyFill="1" applyBorder="1" applyAlignment="1">
      <alignment/>
    </xf>
    <xf numFmtId="4" fontId="2" fillId="35" borderId="29" xfId="33" applyNumberFormat="1" applyFont="1" applyFill="1" applyBorder="1" applyAlignment="1">
      <alignment/>
    </xf>
    <xf numFmtId="4" fontId="31" fillId="35" borderId="29" xfId="33" applyNumberFormat="1" applyFont="1" applyFill="1" applyBorder="1" applyAlignment="1">
      <alignment vertical="center"/>
    </xf>
    <xf numFmtId="4" fontId="2" fillId="54" borderId="21" xfId="33" applyNumberFormat="1" applyFont="1" applyFill="1" applyBorder="1" applyAlignment="1">
      <alignment/>
    </xf>
    <xf numFmtId="4" fontId="2" fillId="35" borderId="32" xfId="33" applyNumberFormat="1" applyFont="1" applyFill="1" applyBorder="1" applyAlignment="1">
      <alignment/>
    </xf>
    <xf numFmtId="4" fontId="14" fillId="35" borderId="21" xfId="33" applyNumberFormat="1" applyFont="1" applyFill="1" applyBorder="1" applyAlignment="1">
      <alignment/>
    </xf>
    <xf numFmtId="4" fontId="31" fillId="35" borderId="31" xfId="33" applyNumberFormat="1" applyFont="1" applyFill="1" applyBorder="1" applyAlignment="1">
      <alignment vertical="center"/>
    </xf>
    <xf numFmtId="4" fontId="2" fillId="35" borderId="13" xfId="33" applyNumberFormat="1" applyFont="1" applyFill="1" applyBorder="1" applyAlignment="1">
      <alignment/>
    </xf>
    <xf numFmtId="4" fontId="14" fillId="35" borderId="31" xfId="33" applyNumberFormat="1" applyFont="1" applyFill="1" applyBorder="1" applyAlignment="1">
      <alignment/>
    </xf>
    <xf numFmtId="4" fontId="7" fillId="0" borderId="0" xfId="33" applyNumberFormat="1" applyFont="1" applyAlignment="1">
      <alignment vertical="center"/>
    </xf>
    <xf numFmtId="4" fontId="6" fillId="0" borderId="0" xfId="33" applyNumberFormat="1" applyFont="1" applyAlignment="1">
      <alignment/>
    </xf>
    <xf numFmtId="4" fontId="2" fillId="0" borderId="0" xfId="33" applyNumberFormat="1" applyFont="1" applyAlignment="1">
      <alignment/>
    </xf>
    <xf numFmtId="4" fontId="6" fillId="0" borderId="0" xfId="52" applyNumberFormat="1" applyFont="1" applyBorder="1" applyAlignment="1">
      <alignment horizontal="center"/>
      <protection/>
    </xf>
    <xf numFmtId="4" fontId="60" fillId="0" borderId="0" xfId="33" applyNumberFormat="1" applyFont="1" applyBorder="1" applyAlignment="1">
      <alignment horizontal="right" vertical="center"/>
    </xf>
    <xf numFmtId="4" fontId="61" fillId="34" borderId="0" xfId="33" applyNumberFormat="1" applyFont="1" applyFill="1" applyBorder="1" applyAlignment="1">
      <alignment horizontal="right" vertical="center"/>
    </xf>
    <xf numFmtId="4" fontId="60" fillId="34" borderId="0" xfId="33" applyNumberFormat="1" applyFont="1" applyFill="1" applyBorder="1" applyAlignment="1">
      <alignment horizontal="right" vertical="center"/>
    </xf>
    <xf numFmtId="4" fontId="63" fillId="35" borderId="0" xfId="33" applyNumberFormat="1" applyFont="1" applyFill="1" applyBorder="1" applyAlignment="1">
      <alignment horizontal="right" vertical="center"/>
    </xf>
    <xf numFmtId="4" fontId="63" fillId="33" borderId="0" xfId="33" applyNumberFormat="1" applyFont="1" applyFill="1" applyBorder="1" applyAlignment="1">
      <alignment horizontal="right" vertical="center" wrapText="1"/>
    </xf>
    <xf numFmtId="4" fontId="63" fillId="36" borderId="0" xfId="33" applyNumberFormat="1" applyFont="1" applyFill="1" applyBorder="1" applyAlignment="1">
      <alignment horizontal="right" vertical="center"/>
    </xf>
    <xf numFmtId="4" fontId="61" fillId="19" borderId="0" xfId="33" applyNumberFormat="1" applyFont="1" applyFill="1" applyBorder="1" applyAlignment="1">
      <alignment horizontal="right" vertical="center"/>
    </xf>
    <xf numFmtId="4" fontId="65" fillId="37" borderId="0" xfId="33" applyNumberFormat="1" applyFont="1" applyFill="1" applyBorder="1" applyAlignment="1">
      <alignment horizontal="right" vertical="center"/>
    </xf>
    <xf numFmtId="4" fontId="61" fillId="43" borderId="0" xfId="33" applyNumberFormat="1" applyFont="1" applyFill="1" applyBorder="1" applyAlignment="1">
      <alignment horizontal="right" vertical="center"/>
    </xf>
    <xf numFmtId="4" fontId="63" fillId="41" borderId="0" xfId="33" applyNumberFormat="1" applyFont="1" applyFill="1" applyBorder="1" applyAlignment="1">
      <alignment horizontal="right" vertical="center"/>
    </xf>
    <xf numFmtId="4" fontId="65" fillId="34" borderId="0" xfId="33" applyNumberFormat="1" applyFont="1" applyFill="1" applyBorder="1" applyAlignment="1">
      <alignment horizontal="right" vertical="center"/>
    </xf>
    <xf numFmtId="4" fontId="63" fillId="38" borderId="0" xfId="33" applyNumberFormat="1" applyFont="1" applyFill="1" applyBorder="1" applyAlignment="1">
      <alignment horizontal="right" vertical="center"/>
    </xf>
    <xf numFmtId="4" fontId="65" fillId="0" borderId="0" xfId="33" applyNumberFormat="1" applyFont="1" applyBorder="1" applyAlignment="1">
      <alignment horizontal="right" vertical="center"/>
    </xf>
    <xf numFmtId="4" fontId="63" fillId="34" borderId="0" xfId="33" applyNumberFormat="1" applyFont="1" applyFill="1" applyBorder="1" applyAlignment="1">
      <alignment horizontal="right" vertical="center"/>
    </xf>
    <xf numFmtId="4" fontId="63" fillId="0" borderId="0" xfId="33" applyNumberFormat="1" applyFont="1" applyFill="1" applyBorder="1" applyAlignment="1">
      <alignment horizontal="right" vertical="center"/>
    </xf>
    <xf numFmtId="4" fontId="63" fillId="33" borderId="0" xfId="33" applyNumberFormat="1" applyFont="1" applyFill="1" applyBorder="1" applyAlignment="1">
      <alignment horizontal="right" vertical="center"/>
    </xf>
    <xf numFmtId="4" fontId="61" fillId="0" borderId="0" xfId="33" applyNumberFormat="1" applyFont="1" applyFill="1" applyBorder="1" applyAlignment="1">
      <alignment horizontal="right" vertical="center"/>
    </xf>
    <xf numFmtId="4" fontId="60" fillId="44" borderId="0" xfId="33" applyNumberFormat="1" applyFont="1" applyFill="1" applyBorder="1" applyAlignment="1">
      <alignment horizontal="right" vertical="center" wrapText="1"/>
    </xf>
    <xf numFmtId="4" fontId="63" fillId="48" borderId="0" xfId="33" applyNumberFormat="1" applyFont="1" applyFill="1" applyBorder="1" applyAlignment="1">
      <alignment horizontal="right" vertical="center"/>
    </xf>
    <xf numFmtId="4" fontId="63" fillId="24" borderId="0" xfId="33" applyNumberFormat="1" applyFont="1" applyFill="1" applyBorder="1" applyAlignment="1">
      <alignment horizontal="right" vertical="center"/>
    </xf>
    <xf numFmtId="4" fontId="63" fillId="52" borderId="0" xfId="33" applyNumberFormat="1" applyFont="1" applyFill="1" applyBorder="1" applyAlignment="1">
      <alignment horizontal="right" vertical="center"/>
    </xf>
    <xf numFmtId="4" fontId="63" fillId="46" borderId="0" xfId="33" applyNumberFormat="1" applyFont="1" applyFill="1" applyBorder="1" applyAlignment="1">
      <alignment horizontal="right" vertical="center"/>
    </xf>
    <xf numFmtId="4" fontId="63" fillId="53" borderId="0" xfId="33" applyNumberFormat="1" applyFont="1" applyFill="1" applyBorder="1" applyAlignment="1">
      <alignment horizontal="right" vertical="center"/>
    </xf>
    <xf numFmtId="4" fontId="63" fillId="53" borderId="0" xfId="33" applyNumberFormat="1" applyFont="1" applyFill="1" applyBorder="1" applyAlignment="1">
      <alignment horizontal="right" vertical="center" wrapText="1"/>
    </xf>
    <xf numFmtId="4" fontId="63" fillId="0" borderId="0" xfId="33" applyNumberFormat="1" applyFont="1" applyFill="1" applyBorder="1" applyAlignment="1">
      <alignment horizontal="right" vertical="center" wrapText="1"/>
    </xf>
    <xf numFmtId="4" fontId="63" fillId="10" borderId="0" xfId="33" applyNumberFormat="1" applyFont="1" applyFill="1" applyBorder="1" applyAlignment="1">
      <alignment horizontal="right" vertical="center"/>
    </xf>
    <xf numFmtId="4" fontId="60" fillId="50" borderId="0" xfId="33" applyNumberFormat="1" applyFont="1" applyFill="1" applyBorder="1" applyAlignment="1">
      <alignment horizontal="right" vertical="center"/>
    </xf>
    <xf numFmtId="4" fontId="14" fillId="0" borderId="0" xfId="33" applyNumberFormat="1" applyFont="1" applyFill="1" applyBorder="1" applyAlignment="1">
      <alignment/>
    </xf>
    <xf numFmtId="4" fontId="14" fillId="34" borderId="0" xfId="33" applyNumberFormat="1" applyFont="1" applyFill="1" applyBorder="1" applyAlignment="1">
      <alignment/>
    </xf>
    <xf numFmtId="4" fontId="14" fillId="54" borderId="0" xfId="33" applyNumberFormat="1" applyFont="1" applyFill="1" applyBorder="1" applyAlignment="1">
      <alignment/>
    </xf>
    <xf numFmtId="4" fontId="14" fillId="35" borderId="0" xfId="33" applyNumberFormat="1" applyFont="1" applyFill="1" applyBorder="1" applyAlignment="1">
      <alignment/>
    </xf>
    <xf numFmtId="4" fontId="8" fillId="0" borderId="0" xfId="52" applyNumberFormat="1" applyFont="1">
      <alignment/>
      <protection/>
    </xf>
    <xf numFmtId="4" fontId="12" fillId="0" borderId="30" xfId="52" applyNumberFormat="1" applyFont="1" applyFill="1" applyBorder="1" applyAlignment="1">
      <alignment horizontal="left" vertical="center" wrapText="1"/>
      <protection/>
    </xf>
    <xf numFmtId="4" fontId="62" fillId="0" borderId="26" xfId="33" applyNumberFormat="1" applyFont="1" applyFill="1" applyBorder="1" applyAlignment="1">
      <alignment horizontal="right" vertical="center"/>
    </xf>
    <xf numFmtId="4" fontId="63" fillId="0" borderId="26" xfId="33" applyNumberFormat="1" applyFont="1" applyFill="1" applyBorder="1" applyAlignment="1">
      <alignment horizontal="right" vertical="center"/>
    </xf>
    <xf numFmtId="4" fontId="13" fillId="0" borderId="0" xfId="33" applyNumberFormat="1" applyFont="1" applyFill="1" applyAlignment="1">
      <alignment/>
    </xf>
    <xf numFmtId="4" fontId="13" fillId="0" borderId="0" xfId="52" applyNumberFormat="1" applyFont="1" applyFill="1">
      <alignment/>
      <protection/>
    </xf>
    <xf numFmtId="0" fontId="13" fillId="0" borderId="0" xfId="52" applyFont="1" applyFill="1">
      <alignment/>
      <protection/>
    </xf>
    <xf numFmtId="4" fontId="0" fillId="0" borderId="0" xfId="0" applyNumberFormat="1" applyAlignment="1">
      <alignment/>
    </xf>
    <xf numFmtId="4" fontId="0" fillId="41" borderId="15" xfId="53" applyNumberFormat="1" applyFont="1" applyFill="1" applyBorder="1" applyAlignment="1">
      <alignment horizontal="left" vertical="center" wrapText="1"/>
      <protection/>
    </xf>
    <xf numFmtId="4" fontId="62" fillId="41" borderId="12" xfId="33" applyNumberFormat="1" applyFont="1" applyFill="1" applyBorder="1" applyAlignment="1">
      <alignment horizontal="right" vertical="center"/>
    </xf>
    <xf numFmtId="4" fontId="65" fillId="41" borderId="12" xfId="33" applyNumberFormat="1" applyFont="1" applyFill="1" applyBorder="1" applyAlignment="1">
      <alignment horizontal="right" vertical="center"/>
    </xf>
    <xf numFmtId="4" fontId="66" fillId="0" borderId="41" xfId="33" applyNumberFormat="1" applyFont="1" applyBorder="1" applyAlignment="1">
      <alignment horizontal="right" vertical="center"/>
    </xf>
    <xf numFmtId="4" fontId="62" fillId="42" borderId="17" xfId="33" applyNumberFormat="1" applyFont="1" applyFill="1" applyBorder="1" applyAlignment="1">
      <alignment horizontal="right" vertical="center"/>
    </xf>
    <xf numFmtId="4" fontId="62" fillId="42" borderId="41" xfId="33" applyNumberFormat="1" applyFont="1" applyFill="1" applyBorder="1" applyAlignment="1">
      <alignment horizontal="right" vertical="center"/>
    </xf>
    <xf numFmtId="4" fontId="37" fillId="0" borderId="15" xfId="53" applyNumberFormat="1" applyFont="1" applyBorder="1" applyAlignment="1">
      <alignment horizontal="left" vertical="center" wrapText="1"/>
      <protection/>
    </xf>
    <xf numFmtId="4" fontId="37" fillId="0" borderId="15" xfId="53" applyNumberFormat="1" applyFont="1" applyBorder="1" applyAlignment="1">
      <alignment vertical="center" wrapText="1"/>
      <protection/>
    </xf>
    <xf numFmtId="4" fontId="37" fillId="0" borderId="10" xfId="53" applyNumberFormat="1" applyFont="1" applyBorder="1" applyAlignment="1">
      <alignment vertical="center" wrapText="1"/>
      <protection/>
    </xf>
    <xf numFmtId="4" fontId="61" fillId="0" borderId="17" xfId="33" applyNumberFormat="1" applyFont="1" applyFill="1" applyBorder="1" applyAlignment="1">
      <alignment horizontal="right" vertical="center"/>
    </xf>
    <xf numFmtId="4" fontId="0" fillId="34" borderId="15" xfId="53" applyNumberFormat="1" applyFont="1" applyFill="1" applyBorder="1" applyAlignment="1">
      <alignment horizontal="right" vertical="center" wrapText="1"/>
      <protection/>
    </xf>
    <xf numFmtId="4" fontId="37" fillId="37" borderId="15" xfId="53" applyNumberFormat="1" applyFont="1" applyFill="1" applyBorder="1" applyAlignment="1">
      <alignment horizontal="left" vertical="center" wrapText="1"/>
      <protection/>
    </xf>
    <xf numFmtId="4" fontId="37" fillId="0" borderId="15" xfId="53" applyNumberFormat="1" applyFont="1" applyBorder="1" applyAlignment="1">
      <alignment horizontal="left" vertical="center" wrapText="1"/>
      <protection/>
    </xf>
    <xf numFmtId="4" fontId="66" fillId="0" borderId="26" xfId="33" applyNumberFormat="1" applyFont="1" applyBorder="1" applyAlignment="1">
      <alignment horizontal="right" vertical="center"/>
    </xf>
    <xf numFmtId="4" fontId="37" fillId="0" borderId="15" xfId="53" applyNumberFormat="1" applyFont="1" applyBorder="1" applyAlignment="1">
      <alignment horizontal="left" vertical="center"/>
      <protection/>
    </xf>
    <xf numFmtId="4" fontId="37" fillId="0" borderId="15" xfId="53" applyNumberFormat="1" applyFont="1" applyBorder="1" applyAlignment="1">
      <alignment vertical="center"/>
      <protection/>
    </xf>
    <xf numFmtId="4" fontId="37" fillId="37" borderId="15" xfId="53" applyNumberFormat="1" applyFont="1" applyFill="1" applyBorder="1" applyAlignment="1">
      <alignment horizontal="left" vertical="center"/>
      <protection/>
    </xf>
    <xf numFmtId="4" fontId="63" fillId="4" borderId="17" xfId="33" applyNumberFormat="1" applyFont="1" applyFill="1" applyBorder="1" applyAlignment="1">
      <alignment horizontal="right" vertical="center"/>
    </xf>
    <xf numFmtId="4" fontId="37" fillId="0" borderId="30" xfId="53" applyNumberFormat="1" applyFont="1" applyBorder="1" applyAlignment="1">
      <alignment vertical="center" wrapText="1"/>
      <protection/>
    </xf>
    <xf numFmtId="4" fontId="61" fillId="0" borderId="26" xfId="33" applyNumberFormat="1" applyFont="1" applyFill="1" applyBorder="1" applyAlignment="1">
      <alignment horizontal="right" vertical="center"/>
    </xf>
    <xf numFmtId="4" fontId="33" fillId="4" borderId="30" xfId="52" applyNumberFormat="1" applyFont="1" applyFill="1" applyBorder="1" applyAlignment="1">
      <alignment horizontal="center" vertical="center" wrapText="1"/>
      <protection/>
    </xf>
    <xf numFmtId="4" fontId="63" fillId="4" borderId="41" xfId="33" applyNumberFormat="1" applyFont="1" applyFill="1" applyBorder="1" applyAlignment="1">
      <alignment horizontal="right" vertical="center"/>
    </xf>
    <xf numFmtId="4" fontId="63" fillId="4" borderId="26" xfId="33" applyNumberFormat="1" applyFont="1" applyFill="1" applyBorder="1" applyAlignment="1">
      <alignment horizontal="right" vertical="center"/>
    </xf>
    <xf numFmtId="4" fontId="63" fillId="4" borderId="0" xfId="33" applyNumberFormat="1" applyFont="1" applyFill="1" applyBorder="1" applyAlignment="1">
      <alignment horizontal="right" vertical="center"/>
    </xf>
    <xf numFmtId="4" fontId="64" fillId="4" borderId="26" xfId="33" applyNumberFormat="1" applyFont="1" applyFill="1" applyBorder="1" applyAlignment="1">
      <alignment horizontal="right" vertical="center"/>
    </xf>
    <xf numFmtId="4" fontId="33" fillId="55" borderId="18" xfId="52" applyNumberFormat="1" applyFont="1" applyFill="1" applyBorder="1" applyAlignment="1">
      <alignment horizontal="center" vertical="center" wrapText="1"/>
      <protection/>
    </xf>
    <xf numFmtId="4" fontId="63" fillId="55" borderId="14" xfId="33" applyNumberFormat="1" applyFont="1" applyFill="1" applyBorder="1" applyAlignment="1">
      <alignment horizontal="right" vertical="center"/>
    </xf>
    <xf numFmtId="4" fontId="63" fillId="55" borderId="35" xfId="33" applyNumberFormat="1" applyFont="1" applyFill="1" applyBorder="1" applyAlignment="1">
      <alignment horizontal="right" vertical="center"/>
    </xf>
    <xf numFmtId="4" fontId="64" fillId="55" borderId="14" xfId="33" applyNumberFormat="1" applyFont="1" applyFill="1" applyBorder="1" applyAlignment="1">
      <alignment horizontal="right" vertical="center"/>
    </xf>
    <xf numFmtId="4" fontId="67" fillId="0" borderId="17" xfId="33" applyNumberFormat="1" applyFont="1" applyFill="1" applyBorder="1" applyAlignment="1">
      <alignment horizontal="center" vertical="center"/>
    </xf>
    <xf numFmtId="4" fontId="66" fillId="0" borderId="17" xfId="33" applyNumberFormat="1" applyFont="1" applyFill="1" applyBorder="1" applyAlignment="1">
      <alignment horizontal="right" vertical="center"/>
    </xf>
    <xf numFmtId="17" fontId="0" fillId="0" borderId="0" xfId="0" applyNumberFormat="1" applyAlignment="1">
      <alignment/>
    </xf>
    <xf numFmtId="4" fontId="60" fillId="0" borderId="0" xfId="33" applyNumberFormat="1" applyFont="1" applyFill="1" applyBorder="1" applyAlignment="1">
      <alignment horizontal="right" vertical="center"/>
    </xf>
    <xf numFmtId="4" fontId="60" fillId="51" borderId="35" xfId="33" applyNumberFormat="1" applyFont="1" applyFill="1" applyBorder="1" applyAlignment="1">
      <alignment horizontal="right" vertical="center"/>
    </xf>
    <xf numFmtId="4" fontId="60" fillId="51" borderId="14" xfId="33" applyNumberFormat="1" applyFont="1" applyFill="1" applyBorder="1" applyAlignment="1">
      <alignment horizontal="right" vertical="center"/>
    </xf>
    <xf numFmtId="4" fontId="12" fillId="53" borderId="18" xfId="52" applyNumberFormat="1" applyFont="1" applyFill="1" applyBorder="1">
      <alignment/>
      <protection/>
    </xf>
    <xf numFmtId="4" fontId="62" fillId="53" borderId="14" xfId="33" applyNumberFormat="1" applyFont="1" applyFill="1" applyBorder="1" applyAlignment="1">
      <alignment horizontal="right" vertical="center"/>
    </xf>
    <xf numFmtId="4" fontId="62" fillId="53" borderId="35" xfId="33" applyNumberFormat="1" applyFont="1" applyFill="1" applyBorder="1" applyAlignment="1">
      <alignment horizontal="right" vertical="center"/>
    </xf>
    <xf numFmtId="4" fontId="63" fillId="53" borderId="14" xfId="33" applyNumberFormat="1" applyFont="1" applyFill="1" applyBorder="1" applyAlignment="1">
      <alignment horizontal="right" vertical="center"/>
    </xf>
    <xf numFmtId="4" fontId="15" fillId="53" borderId="21" xfId="33" applyNumberFormat="1" applyFont="1" applyFill="1" applyBorder="1" applyAlignment="1">
      <alignment/>
    </xf>
    <xf numFmtId="4" fontId="15" fillId="53" borderId="34" xfId="33" applyNumberFormat="1" applyFont="1" applyFill="1" applyBorder="1" applyAlignment="1">
      <alignment/>
    </xf>
    <xf numFmtId="4" fontId="14" fillId="53" borderId="21" xfId="33" applyNumberFormat="1" applyFont="1" applyFill="1" applyBorder="1" applyAlignment="1">
      <alignment/>
    </xf>
    <xf numFmtId="4" fontId="2" fillId="51" borderId="12" xfId="0" applyNumberFormat="1" applyFont="1" applyFill="1" applyBorder="1" applyAlignment="1">
      <alignment/>
    </xf>
    <xf numFmtId="4" fontId="2" fillId="51" borderId="12" xfId="50" applyNumberFormat="1" applyFont="1" applyFill="1" applyBorder="1">
      <alignment/>
      <protection/>
    </xf>
    <xf numFmtId="4" fontId="5" fillId="51" borderId="12" xfId="50" applyNumberFormat="1" applyFont="1" applyFill="1" applyBorder="1">
      <alignment/>
      <protection/>
    </xf>
    <xf numFmtId="0" fontId="38" fillId="0" borderId="10" xfId="50" applyFont="1" applyFill="1" applyBorder="1" applyAlignment="1">
      <alignment wrapText="1"/>
      <protection/>
    </xf>
    <xf numFmtId="0" fontId="5" fillId="0" borderId="15" xfId="50" applyFont="1" applyFill="1" applyBorder="1">
      <alignment/>
      <protection/>
    </xf>
    <xf numFmtId="0" fontId="5" fillId="37" borderId="15" xfId="50" applyFont="1" applyFill="1" applyBorder="1" applyAlignment="1">
      <alignment wrapText="1"/>
      <protection/>
    </xf>
    <xf numFmtId="0" fontId="5" fillId="0" borderId="15" xfId="50" applyFont="1" applyFill="1" applyBorder="1" applyAlignment="1">
      <alignment wrapText="1"/>
      <protection/>
    </xf>
    <xf numFmtId="0" fontId="40" fillId="37" borderId="15" xfId="50" applyFont="1" applyFill="1" applyBorder="1" applyAlignment="1">
      <alignment wrapText="1"/>
      <protection/>
    </xf>
    <xf numFmtId="0" fontId="40" fillId="0" borderId="15" xfId="50" applyFont="1" applyFill="1" applyBorder="1">
      <alignment/>
      <protection/>
    </xf>
    <xf numFmtId="0" fontId="40" fillId="0" borderId="17" xfId="50" applyFont="1" applyFill="1" applyBorder="1" applyAlignment="1">
      <alignment wrapText="1"/>
      <protection/>
    </xf>
    <xf numFmtId="0" fontId="40" fillId="0" borderId="12" xfId="50" applyFont="1" applyFill="1" applyBorder="1">
      <alignment/>
      <protection/>
    </xf>
    <xf numFmtId="4" fontId="66" fillId="51" borderId="12" xfId="33" applyNumberFormat="1" applyFont="1" applyFill="1" applyBorder="1" applyAlignment="1">
      <alignment horizontal="right" vertical="center"/>
    </xf>
    <xf numFmtId="4" fontId="0" fillId="42" borderId="46" xfId="53" applyNumberFormat="1" applyFont="1" applyFill="1" applyBorder="1" applyAlignment="1">
      <alignment horizontal="left" vertical="center" wrapText="1"/>
      <protection/>
    </xf>
    <xf numFmtId="4" fontId="0" fillId="42" borderId="36" xfId="53" applyNumberFormat="1" applyFont="1" applyFill="1" applyBorder="1" applyAlignment="1">
      <alignment horizontal="left" vertical="center" wrapText="1"/>
      <protection/>
    </xf>
    <xf numFmtId="4" fontId="37" fillId="0" borderId="36" xfId="53" applyNumberFormat="1" applyFont="1" applyBorder="1" applyAlignment="1">
      <alignment horizontal="left" vertical="center" wrapText="1"/>
      <protection/>
    </xf>
    <xf numFmtId="4" fontId="37" fillId="0" borderId="36" xfId="53" applyNumberFormat="1" applyFont="1" applyBorder="1" applyAlignment="1">
      <alignment vertical="center" wrapText="1"/>
      <protection/>
    </xf>
    <xf numFmtId="4" fontId="37" fillId="0" borderId="36" xfId="53" applyNumberFormat="1" applyFont="1" applyFill="1" applyBorder="1" applyAlignment="1">
      <alignment horizontal="left" vertical="center" wrapText="1"/>
      <protection/>
    </xf>
    <xf numFmtId="4" fontId="0" fillId="0" borderId="36" xfId="53" applyNumberFormat="1" applyFont="1" applyBorder="1" applyAlignment="1">
      <alignment horizontal="left" vertical="center" wrapText="1"/>
      <protection/>
    </xf>
    <xf numFmtId="4" fontId="32" fillId="0" borderId="46" xfId="52" applyNumberFormat="1" applyFont="1" applyFill="1" applyBorder="1" applyAlignment="1">
      <alignment horizontal="left" vertical="center" wrapText="1"/>
      <protection/>
    </xf>
    <xf numFmtId="4" fontId="32" fillId="0" borderId="47" xfId="52" applyNumberFormat="1" applyFont="1" applyFill="1" applyBorder="1" applyAlignment="1">
      <alignment horizontal="left" vertical="center" wrapText="1"/>
      <protection/>
    </xf>
    <xf numFmtId="4" fontId="12" fillId="53" borderId="18" xfId="52" applyNumberFormat="1" applyFont="1" applyFill="1" applyBorder="1" applyAlignment="1">
      <alignment horizontal="left" vertical="center" wrapText="1"/>
      <protection/>
    </xf>
    <xf numFmtId="4" fontId="61" fillId="38" borderId="14" xfId="33" applyNumberFormat="1" applyFont="1" applyFill="1" applyBorder="1" applyAlignment="1">
      <alignment horizontal="right" vertical="center"/>
    </xf>
    <xf numFmtId="4" fontId="67" fillId="42" borderId="17" xfId="33" applyNumberFormat="1" applyFont="1" applyFill="1" applyBorder="1" applyAlignment="1">
      <alignment horizontal="right" vertical="center"/>
    </xf>
    <xf numFmtId="4" fontId="60" fillId="0" borderId="17" xfId="33" applyNumberFormat="1" applyFont="1" applyFill="1" applyBorder="1" applyAlignment="1">
      <alignment horizontal="right" vertical="center"/>
    </xf>
    <xf numFmtId="4" fontId="70" fillId="0" borderId="27" xfId="33" applyNumberFormat="1" applyFont="1" applyFill="1" applyBorder="1" applyAlignment="1">
      <alignment horizontal="right" vertical="center"/>
    </xf>
    <xf numFmtId="4" fontId="67" fillId="42" borderId="41" xfId="33" applyNumberFormat="1" applyFont="1" applyFill="1" applyBorder="1" applyAlignment="1">
      <alignment horizontal="right" vertical="center"/>
    </xf>
    <xf numFmtId="4" fontId="63" fillId="0" borderId="35" xfId="33" applyNumberFormat="1" applyFont="1" applyFill="1" applyBorder="1" applyAlignment="1">
      <alignment horizontal="right" vertical="center"/>
    </xf>
    <xf numFmtId="0" fontId="13" fillId="0" borderId="37" xfId="52" applyFont="1" applyBorder="1">
      <alignment/>
      <protection/>
    </xf>
    <xf numFmtId="4" fontId="60" fillId="50" borderId="35" xfId="33" applyNumberFormat="1" applyFont="1" applyFill="1" applyBorder="1" applyAlignment="1">
      <alignment horizontal="right" vertical="center"/>
    </xf>
    <xf numFmtId="4" fontId="60" fillId="0" borderId="41" xfId="33" applyNumberFormat="1" applyFont="1" applyFill="1" applyBorder="1" applyAlignment="1">
      <alignment horizontal="right" vertical="center"/>
    </xf>
    <xf numFmtId="4" fontId="70" fillId="0" borderId="38" xfId="33" applyNumberFormat="1" applyFont="1" applyFill="1" applyBorder="1" applyAlignment="1">
      <alignment horizontal="right" vertical="center"/>
    </xf>
    <xf numFmtId="0" fontId="13" fillId="0" borderId="12" xfId="52" applyFont="1" applyBorder="1">
      <alignment/>
      <protection/>
    </xf>
    <xf numFmtId="4" fontId="70" fillId="0" borderId="17" xfId="33" applyNumberFormat="1" applyFont="1" applyFill="1" applyBorder="1" applyAlignment="1">
      <alignment horizontal="right" vertical="center"/>
    </xf>
    <xf numFmtId="4" fontId="67" fillId="36" borderId="33" xfId="33" applyNumberFormat="1" applyFont="1" applyFill="1" applyBorder="1" applyAlignment="1">
      <alignment horizontal="right" vertical="center"/>
    </xf>
    <xf numFmtId="4" fontId="11" fillId="37" borderId="14" xfId="52" applyNumberFormat="1" applyFont="1" applyFill="1" applyBorder="1" applyAlignment="1">
      <alignment horizontal="center" vertical="center" wrapText="1"/>
      <protection/>
    </xf>
    <xf numFmtId="4" fontId="71" fillId="34" borderId="31" xfId="33" applyNumberFormat="1" applyFont="1" applyFill="1" applyBorder="1" applyAlignment="1">
      <alignment horizontal="right" vertical="center"/>
    </xf>
    <xf numFmtId="4" fontId="65" fillId="34" borderId="14" xfId="33" applyNumberFormat="1" applyFont="1" applyFill="1" applyBorder="1" applyAlignment="1">
      <alignment horizontal="right" vertical="center"/>
    </xf>
    <xf numFmtId="4" fontId="71" fillId="34" borderId="14" xfId="33" applyNumberFormat="1" applyFont="1" applyFill="1" applyBorder="1" applyAlignment="1">
      <alignment horizontal="right" vertical="center"/>
    </xf>
    <xf numFmtId="4" fontId="64" fillId="35" borderId="14" xfId="33" applyNumberFormat="1" applyFont="1" applyFill="1" applyBorder="1" applyAlignment="1">
      <alignment horizontal="right" vertical="center"/>
    </xf>
    <xf numFmtId="4" fontId="71" fillId="49" borderId="14" xfId="33" applyNumberFormat="1" applyFont="1" applyFill="1" applyBorder="1" applyAlignment="1">
      <alignment horizontal="right" vertical="center"/>
    </xf>
    <xf numFmtId="4" fontId="64" fillId="33" borderId="24" xfId="33" applyNumberFormat="1" applyFont="1" applyFill="1" applyBorder="1" applyAlignment="1">
      <alignment horizontal="right" vertical="center" wrapText="1"/>
    </xf>
    <xf numFmtId="4" fontId="65" fillId="19" borderId="17" xfId="33" applyNumberFormat="1" applyFont="1" applyFill="1" applyBorder="1" applyAlignment="1">
      <alignment horizontal="right" vertical="center"/>
    </xf>
    <xf numFmtId="4" fontId="65" fillId="34" borderId="17" xfId="33" applyNumberFormat="1" applyFont="1" applyFill="1" applyBorder="1" applyAlignment="1">
      <alignment horizontal="right" vertical="center"/>
    </xf>
    <xf numFmtId="4" fontId="65" fillId="51" borderId="17" xfId="33" applyNumberFormat="1" applyFont="1" applyFill="1" applyBorder="1" applyAlignment="1">
      <alignment horizontal="right" vertical="center"/>
    </xf>
    <xf numFmtId="4" fontId="65" fillId="43" borderId="17" xfId="33" applyNumberFormat="1" applyFont="1" applyFill="1" applyBorder="1" applyAlignment="1">
      <alignment horizontal="right" vertical="center"/>
    </xf>
    <xf numFmtId="4" fontId="65" fillId="43" borderId="26" xfId="33" applyNumberFormat="1" applyFont="1" applyFill="1" applyBorder="1" applyAlignment="1">
      <alignment horizontal="right" vertical="center"/>
    </xf>
    <xf numFmtId="4" fontId="68" fillId="41" borderId="14" xfId="33" applyNumberFormat="1" applyFont="1" applyFill="1" applyBorder="1" applyAlignment="1">
      <alignment horizontal="right" vertical="center"/>
    </xf>
    <xf numFmtId="4" fontId="64" fillId="38" borderId="14" xfId="33" applyNumberFormat="1" applyFont="1" applyFill="1" applyBorder="1" applyAlignment="1">
      <alignment horizontal="right" vertical="center"/>
    </xf>
    <xf numFmtId="4" fontId="64" fillId="38" borderId="17" xfId="33" applyNumberFormat="1" applyFont="1" applyFill="1" applyBorder="1" applyAlignment="1">
      <alignment horizontal="right" vertical="center"/>
    </xf>
    <xf numFmtId="4" fontId="65" fillId="0" borderId="12" xfId="33" applyNumberFormat="1" applyFont="1" applyFill="1" applyBorder="1" applyAlignment="1">
      <alignment horizontal="right" vertical="center"/>
    </xf>
    <xf numFmtId="4" fontId="65" fillId="0" borderId="17" xfId="33" applyNumberFormat="1" applyFont="1" applyFill="1" applyBorder="1" applyAlignment="1">
      <alignment horizontal="right" vertical="center"/>
    </xf>
    <xf numFmtId="4" fontId="64" fillId="33" borderId="14" xfId="33" applyNumberFormat="1" applyFont="1" applyFill="1" applyBorder="1" applyAlignment="1">
      <alignment horizontal="right" vertical="center"/>
    </xf>
    <xf numFmtId="4" fontId="65" fillId="51" borderId="12" xfId="33" applyNumberFormat="1" applyFont="1" applyFill="1" applyBorder="1" applyAlignment="1">
      <alignment horizontal="right" vertical="center"/>
    </xf>
    <xf numFmtId="4" fontId="64" fillId="0" borderId="12" xfId="33" applyNumberFormat="1" applyFont="1" applyFill="1" applyBorder="1" applyAlignment="1">
      <alignment horizontal="right" vertical="center"/>
    </xf>
    <xf numFmtId="4" fontId="64" fillId="51" borderId="12" xfId="33" applyNumberFormat="1" applyFont="1" applyFill="1" applyBorder="1" applyAlignment="1">
      <alignment horizontal="right" vertical="center"/>
    </xf>
    <xf numFmtId="4" fontId="64" fillId="0" borderId="27" xfId="33" applyNumberFormat="1" applyFont="1" applyFill="1" applyBorder="1" applyAlignment="1">
      <alignment horizontal="right" vertical="center"/>
    </xf>
    <xf numFmtId="4" fontId="64" fillId="4" borderId="17" xfId="33" applyNumberFormat="1" applyFont="1" applyFill="1" applyBorder="1" applyAlignment="1">
      <alignment horizontal="right" vertical="center"/>
    </xf>
    <xf numFmtId="4" fontId="64" fillId="0" borderId="26" xfId="33" applyNumberFormat="1" applyFont="1" applyFill="1" applyBorder="1" applyAlignment="1">
      <alignment horizontal="right" vertical="center"/>
    </xf>
    <xf numFmtId="4" fontId="65" fillId="44" borderId="14" xfId="33" applyNumberFormat="1" applyFont="1" applyFill="1" applyBorder="1" applyAlignment="1">
      <alignment horizontal="right" vertical="center"/>
    </xf>
    <xf numFmtId="4" fontId="65" fillId="9" borderId="14" xfId="33" applyNumberFormat="1" applyFont="1" applyFill="1" applyBorder="1" applyAlignment="1">
      <alignment horizontal="right" vertical="center" wrapText="1"/>
    </xf>
    <xf numFmtId="4" fontId="65" fillId="36" borderId="17" xfId="33" applyNumberFormat="1" applyFont="1" applyFill="1" applyBorder="1" applyAlignment="1">
      <alignment horizontal="right" vertical="center"/>
    </xf>
    <xf numFmtId="4" fontId="65" fillId="52" borderId="17" xfId="33" applyNumberFormat="1" applyFont="1" applyFill="1" applyBorder="1" applyAlignment="1">
      <alignment horizontal="right" vertical="center"/>
    </xf>
    <xf numFmtId="4" fontId="65" fillId="46" borderId="17" xfId="33" applyNumberFormat="1" applyFont="1" applyFill="1" applyBorder="1" applyAlignment="1">
      <alignment horizontal="right" vertical="center"/>
    </xf>
    <xf numFmtId="4" fontId="65" fillId="47" borderId="12" xfId="33" applyNumberFormat="1" applyFont="1" applyFill="1" applyBorder="1" applyAlignment="1">
      <alignment horizontal="right" vertical="center"/>
    </xf>
    <xf numFmtId="4" fontId="64" fillId="10" borderId="14" xfId="33" applyNumberFormat="1" applyFont="1" applyFill="1" applyBorder="1" applyAlignment="1">
      <alignment horizontal="right" vertical="center"/>
    </xf>
    <xf numFmtId="4" fontId="64" fillId="34" borderId="26" xfId="33" applyNumberFormat="1" applyFont="1" applyFill="1" applyBorder="1" applyAlignment="1">
      <alignment horizontal="right" vertical="center"/>
    </xf>
    <xf numFmtId="4" fontId="71" fillId="50" borderId="14" xfId="33" applyNumberFormat="1" applyFont="1" applyFill="1" applyBorder="1" applyAlignment="1">
      <alignment horizontal="right" vertical="center"/>
    </xf>
    <xf numFmtId="4" fontId="71" fillId="51" borderId="14" xfId="33" applyNumberFormat="1" applyFont="1" applyFill="1" applyBorder="1" applyAlignment="1">
      <alignment horizontal="right" vertical="center"/>
    </xf>
    <xf numFmtId="4" fontId="71" fillId="0" borderId="17" xfId="33" applyNumberFormat="1" applyFont="1" applyFill="1" applyBorder="1" applyAlignment="1">
      <alignment horizontal="right" vertical="center"/>
    </xf>
    <xf numFmtId="4" fontId="72" fillId="0" borderId="27" xfId="33" applyNumberFormat="1" applyFont="1" applyFill="1" applyBorder="1" applyAlignment="1">
      <alignment horizontal="right" vertical="center"/>
    </xf>
    <xf numFmtId="4" fontId="64" fillId="53" borderId="14" xfId="33" applyNumberFormat="1" applyFont="1" applyFill="1" applyBorder="1" applyAlignment="1">
      <alignment horizontal="right" vertical="center"/>
    </xf>
    <xf numFmtId="4" fontId="31" fillId="53" borderId="21" xfId="33" applyNumberFormat="1" applyFont="1" applyFill="1" applyBorder="1" applyAlignment="1">
      <alignment vertical="center"/>
    </xf>
    <xf numFmtId="4" fontId="11" fillId="37" borderId="35" xfId="52" applyNumberFormat="1" applyFont="1" applyFill="1" applyBorder="1" applyAlignment="1">
      <alignment horizontal="center" wrapText="1"/>
      <protection/>
    </xf>
    <xf numFmtId="4" fontId="66" fillId="37" borderId="37" xfId="33" applyNumberFormat="1" applyFont="1" applyFill="1" applyBorder="1" applyAlignment="1">
      <alignment horizontal="right" vertical="center"/>
    </xf>
    <xf numFmtId="4" fontId="63" fillId="38" borderId="35" xfId="33" applyNumberFormat="1" applyFont="1" applyFill="1" applyBorder="1" applyAlignment="1">
      <alignment horizontal="right" vertical="center"/>
    </xf>
    <xf numFmtId="4" fontId="67" fillId="0" borderId="41" xfId="33" applyNumberFormat="1" applyFont="1" applyBorder="1" applyAlignment="1">
      <alignment horizontal="right" vertical="center"/>
    </xf>
    <xf numFmtId="4" fontId="67" fillId="0" borderId="37" xfId="33" applyNumberFormat="1" applyFont="1" applyBorder="1" applyAlignment="1">
      <alignment horizontal="right" vertical="center"/>
    </xf>
    <xf numFmtId="0" fontId="5" fillId="0" borderId="26" xfId="52" applyFont="1" applyBorder="1">
      <alignment/>
      <protection/>
    </xf>
    <xf numFmtId="0" fontId="24" fillId="0" borderId="26" xfId="52" applyFont="1" applyBorder="1">
      <alignment/>
      <protection/>
    </xf>
    <xf numFmtId="0" fontId="13" fillId="0" borderId="26" xfId="52" applyFont="1" applyBorder="1">
      <alignment/>
      <protection/>
    </xf>
    <xf numFmtId="4" fontId="11" fillId="34" borderId="35" xfId="53" applyNumberFormat="1" applyFont="1" applyFill="1" applyBorder="1" applyAlignment="1">
      <alignment horizontal="center" wrapText="1"/>
      <protection/>
    </xf>
    <xf numFmtId="4" fontId="68" fillId="0" borderId="41" xfId="33" applyNumberFormat="1" applyFont="1" applyFill="1" applyBorder="1" applyAlignment="1">
      <alignment horizontal="right" vertical="center"/>
    </xf>
    <xf numFmtId="0" fontId="13" fillId="37" borderId="37" xfId="52" applyFont="1" applyFill="1" applyBorder="1">
      <alignment/>
      <protection/>
    </xf>
    <xf numFmtId="4" fontId="68" fillId="0" borderId="44" xfId="33" applyNumberFormat="1" applyFont="1" applyFill="1" applyBorder="1" applyAlignment="1">
      <alignment horizontal="right" vertical="center"/>
    </xf>
    <xf numFmtId="4" fontId="64" fillId="34" borderId="37" xfId="33" applyNumberFormat="1" applyFont="1" applyFill="1" applyBorder="1" applyAlignment="1">
      <alignment horizontal="right" vertical="center"/>
    </xf>
    <xf numFmtId="4" fontId="64" fillId="37" borderId="41" xfId="33" applyNumberFormat="1" applyFont="1" applyFill="1" applyBorder="1" applyAlignment="1">
      <alignment horizontal="right" vertical="center"/>
    </xf>
    <xf numFmtId="4" fontId="68" fillId="24" borderId="37" xfId="33" applyNumberFormat="1" applyFont="1" applyFill="1" applyBorder="1" applyAlignment="1">
      <alignment horizontal="right" vertical="center"/>
    </xf>
    <xf numFmtId="4" fontId="68" fillId="52" borderId="37" xfId="33" applyNumberFormat="1" applyFont="1" applyFill="1" applyBorder="1" applyAlignment="1">
      <alignment horizontal="right" vertical="center"/>
    </xf>
    <xf numFmtId="4" fontId="68" fillId="46" borderId="37" xfId="33" applyNumberFormat="1" applyFont="1" applyFill="1" applyBorder="1" applyAlignment="1">
      <alignment horizontal="right" vertical="center"/>
    </xf>
    <xf numFmtId="4" fontId="68" fillId="53" borderId="37" xfId="33" applyNumberFormat="1" applyFont="1" applyFill="1" applyBorder="1" applyAlignment="1">
      <alignment horizontal="right" vertical="center"/>
    </xf>
    <xf numFmtId="4" fontId="64" fillId="53" borderId="37" xfId="33" applyNumberFormat="1" applyFont="1" applyFill="1" applyBorder="1" applyAlignment="1">
      <alignment horizontal="right" vertical="center"/>
    </xf>
    <xf numFmtId="4" fontId="68" fillId="0" borderId="37" xfId="33" applyNumberFormat="1" applyFont="1" applyFill="1" applyBorder="1" applyAlignment="1">
      <alignment horizontal="right" vertical="center"/>
    </xf>
    <xf numFmtId="4" fontId="6" fillId="34" borderId="14" xfId="53" applyNumberFormat="1" applyFont="1" applyFill="1" applyBorder="1" applyAlignment="1">
      <alignment wrapText="1"/>
      <protection/>
    </xf>
    <xf numFmtId="4" fontId="92" fillId="0" borderId="17" xfId="33" applyNumberFormat="1" applyFont="1" applyFill="1" applyBorder="1" applyAlignment="1">
      <alignment horizontal="right" vertical="center"/>
    </xf>
    <xf numFmtId="4" fontId="61" fillId="0" borderId="12" xfId="33" applyNumberFormat="1" applyFont="1" applyFill="1" applyBorder="1" applyAlignment="1">
      <alignment horizontal="right" vertical="center"/>
    </xf>
    <xf numFmtId="4" fontId="12" fillId="51" borderId="18" xfId="52" applyNumberFormat="1" applyFont="1" applyFill="1" applyBorder="1" applyAlignment="1">
      <alignment horizontal="left" vertical="center" wrapText="1"/>
      <protection/>
    </xf>
    <xf numFmtId="4" fontId="73" fillId="49" borderId="18" xfId="33" applyNumberFormat="1" applyFont="1" applyFill="1" applyBorder="1" applyAlignment="1">
      <alignment horizontal="right" vertical="center"/>
    </xf>
    <xf numFmtId="4" fontId="60" fillId="0" borderId="19" xfId="33" applyNumberFormat="1" applyFont="1" applyBorder="1" applyAlignment="1">
      <alignment horizontal="right" vertical="center"/>
    </xf>
    <xf numFmtId="4" fontId="61" fillId="56" borderId="17" xfId="33" applyNumberFormat="1" applyFont="1" applyFill="1" applyBorder="1" applyAlignment="1">
      <alignment horizontal="right" vertical="center"/>
    </xf>
    <xf numFmtId="4" fontId="2" fillId="0" borderId="17" xfId="51" applyNumberFormat="1" applyFont="1" applyFill="1" applyBorder="1">
      <alignment/>
      <protection/>
    </xf>
    <xf numFmtId="0" fontId="38" fillId="0" borderId="15" xfId="50" applyFont="1" applyFill="1" applyBorder="1" applyAlignment="1">
      <alignment wrapText="1"/>
      <protection/>
    </xf>
    <xf numFmtId="4" fontId="37" fillId="0" borderId="33" xfId="53" applyNumberFormat="1" applyFont="1" applyBorder="1" applyAlignment="1">
      <alignment vertical="center" wrapText="1"/>
      <protection/>
    </xf>
    <xf numFmtId="4" fontId="37" fillId="0" borderId="26" xfId="53" applyNumberFormat="1" applyFont="1" applyBorder="1" applyAlignment="1">
      <alignment vertical="center" wrapText="1"/>
      <protection/>
    </xf>
    <xf numFmtId="4" fontId="2" fillId="0" borderId="27" xfId="50" applyNumberFormat="1" applyFont="1" applyFill="1" applyBorder="1">
      <alignment/>
      <protection/>
    </xf>
    <xf numFmtId="4" fontId="6" fillId="0" borderId="11" xfId="50" applyNumberFormat="1" applyFont="1" applyFill="1" applyBorder="1">
      <alignment/>
      <protection/>
    </xf>
    <xf numFmtId="4" fontId="2" fillId="0" borderId="48" xfId="50" applyNumberFormat="1" applyFont="1" applyFill="1" applyBorder="1">
      <alignment/>
      <protection/>
    </xf>
    <xf numFmtId="4" fontId="2" fillId="0" borderId="27" xfId="50" applyNumberFormat="1" applyFont="1" applyFill="1" applyBorder="1">
      <alignment/>
      <protection/>
    </xf>
    <xf numFmtId="49" fontId="2" fillId="37" borderId="17" xfId="50" applyNumberFormat="1" applyFont="1" applyFill="1" applyBorder="1" applyAlignment="1">
      <alignment horizontal="left"/>
      <protection/>
    </xf>
    <xf numFmtId="4" fontId="2" fillId="51" borderId="17" xfId="50" applyNumberFormat="1" applyFont="1" applyFill="1" applyBorder="1">
      <alignment/>
      <protection/>
    </xf>
    <xf numFmtId="4" fontId="2" fillId="51" borderId="17" xfId="0" applyNumberFormat="1" applyFont="1" applyFill="1" applyBorder="1" applyAlignment="1">
      <alignment/>
    </xf>
    <xf numFmtId="4" fontId="2" fillId="0" borderId="15" xfId="51" applyNumberFormat="1" applyFont="1" applyFill="1" applyBorder="1">
      <alignment/>
      <protection/>
    </xf>
    <xf numFmtId="4" fontId="2" fillId="0" borderId="40" xfId="51" applyNumberFormat="1" applyFont="1" applyFill="1" applyBorder="1">
      <alignment/>
      <protection/>
    </xf>
    <xf numFmtId="49" fontId="2" fillId="37" borderId="33" xfId="50" applyNumberFormat="1" applyFont="1" applyFill="1" applyBorder="1" applyAlignment="1">
      <alignment horizontal="left"/>
      <protection/>
    </xf>
    <xf numFmtId="4" fontId="2" fillId="4" borderId="33" xfId="50" applyNumberFormat="1" applyFont="1" applyFill="1" applyBorder="1">
      <alignment/>
      <protection/>
    </xf>
    <xf numFmtId="4" fontId="6" fillId="4" borderId="33" xfId="50" applyNumberFormat="1" applyFont="1" applyFill="1" applyBorder="1">
      <alignment/>
      <protection/>
    </xf>
    <xf numFmtId="4" fontId="2" fillId="4" borderId="49" xfId="50" applyNumberFormat="1" applyFont="1" applyFill="1" applyBorder="1">
      <alignment/>
      <protection/>
    </xf>
    <xf numFmtId="4" fontId="2" fillId="4" borderId="33" xfId="50" applyNumberFormat="1" applyFont="1" applyFill="1" applyBorder="1">
      <alignment/>
      <protection/>
    </xf>
    <xf numFmtId="4" fontId="2" fillId="4" borderId="26" xfId="50" applyNumberFormat="1" applyFont="1" applyFill="1" applyBorder="1">
      <alignment/>
      <protection/>
    </xf>
    <xf numFmtId="4" fontId="2" fillId="4" borderId="27" xfId="50" applyNumberFormat="1" applyFont="1" applyFill="1" applyBorder="1">
      <alignment/>
      <protection/>
    </xf>
    <xf numFmtId="4" fontId="6" fillId="4" borderId="27" xfId="50" applyNumberFormat="1" applyFont="1" applyFill="1" applyBorder="1">
      <alignment/>
      <protection/>
    </xf>
    <xf numFmtId="4" fontId="2" fillId="4" borderId="48" xfId="50" applyNumberFormat="1" applyFont="1" applyFill="1" applyBorder="1">
      <alignment/>
      <protection/>
    </xf>
    <xf numFmtId="4" fontId="2" fillId="4" borderId="27" xfId="50" applyNumberFormat="1" applyFont="1" applyFill="1" applyBorder="1">
      <alignment/>
      <protection/>
    </xf>
    <xf numFmtId="4" fontId="37" fillId="0" borderId="50" xfId="53" applyNumberFormat="1" applyFont="1" applyBorder="1" applyAlignment="1">
      <alignment horizontal="left" shrinkToFit="1"/>
      <protection/>
    </xf>
    <xf numFmtId="49" fontId="2" fillId="37" borderId="51" xfId="50" applyNumberFormat="1" applyFont="1" applyFill="1" applyBorder="1" applyAlignment="1">
      <alignment horizontal="left"/>
      <protection/>
    </xf>
    <xf numFmtId="4" fontId="2" fillId="4" borderId="51" xfId="50" applyNumberFormat="1" applyFont="1" applyFill="1" applyBorder="1">
      <alignment/>
      <protection/>
    </xf>
    <xf numFmtId="4" fontId="37" fillId="0" borderId="52" xfId="53" applyNumberFormat="1" applyFont="1" applyBorder="1" applyAlignment="1">
      <alignment horizontal="left" shrinkToFit="1"/>
      <protection/>
    </xf>
    <xf numFmtId="49" fontId="2" fillId="37" borderId="53" xfId="50" applyNumberFormat="1" applyFont="1" applyFill="1" applyBorder="1" applyAlignment="1">
      <alignment horizontal="left"/>
      <protection/>
    </xf>
    <xf numFmtId="4" fontId="2" fillId="4" borderId="53" xfId="50" applyNumberFormat="1" applyFont="1" applyFill="1" applyBorder="1">
      <alignment/>
      <protection/>
    </xf>
    <xf numFmtId="4" fontId="61" fillId="34" borderId="19" xfId="33" applyNumberFormat="1" applyFont="1" applyFill="1" applyBorder="1" applyAlignment="1">
      <alignment horizontal="right" vertical="center"/>
    </xf>
    <xf numFmtId="4" fontId="62" fillId="0" borderId="40" xfId="33" applyNumberFormat="1" applyFont="1" applyFill="1" applyBorder="1" applyAlignment="1">
      <alignment horizontal="right" vertical="center"/>
    </xf>
    <xf numFmtId="4" fontId="67" fillId="43" borderId="40" xfId="33" applyNumberFormat="1" applyFont="1" applyFill="1" applyBorder="1" applyAlignment="1">
      <alignment horizontal="right" vertical="center"/>
    </xf>
    <xf numFmtId="4" fontId="67" fillId="43" borderId="39" xfId="33" applyNumberFormat="1" applyFont="1" applyFill="1" applyBorder="1" applyAlignment="1">
      <alignment horizontal="right" vertical="center"/>
    </xf>
    <xf numFmtId="4" fontId="62" fillId="41" borderId="16" xfId="33" applyNumberFormat="1" applyFont="1" applyFill="1" applyBorder="1" applyAlignment="1">
      <alignment horizontal="right" vertical="center"/>
    </xf>
    <xf numFmtId="4" fontId="62" fillId="37" borderId="16" xfId="33" applyNumberFormat="1" applyFont="1" applyFill="1" applyBorder="1" applyAlignment="1">
      <alignment horizontal="right" vertical="center"/>
    </xf>
    <xf numFmtId="4" fontId="62" fillId="0" borderId="16" xfId="33" applyNumberFormat="1" applyFont="1" applyFill="1" applyBorder="1" applyAlignment="1">
      <alignment horizontal="right" vertical="center"/>
    </xf>
    <xf numFmtId="4" fontId="62" fillId="0" borderId="48" xfId="33" applyNumberFormat="1" applyFont="1" applyFill="1" applyBorder="1" applyAlignment="1">
      <alignment horizontal="right" vertical="center"/>
    </xf>
    <xf numFmtId="4" fontId="63" fillId="38" borderId="19" xfId="33" applyNumberFormat="1" applyFont="1" applyFill="1" applyBorder="1" applyAlignment="1">
      <alignment horizontal="right" vertical="center"/>
    </xf>
    <xf numFmtId="4" fontId="66" fillId="41" borderId="12" xfId="33" applyNumberFormat="1" applyFont="1" applyFill="1" applyBorder="1" applyAlignment="1">
      <alignment horizontal="right" vertical="center"/>
    </xf>
    <xf numFmtId="4" fontId="66" fillId="37" borderId="12" xfId="33" applyNumberFormat="1" applyFont="1" applyFill="1" applyBorder="1" applyAlignment="1">
      <alignment horizontal="right" vertical="center"/>
    </xf>
    <xf numFmtId="4" fontId="101" fillId="37" borderId="17" xfId="50" applyNumberFormat="1" applyFont="1" applyFill="1" applyBorder="1">
      <alignment/>
      <protection/>
    </xf>
    <xf numFmtId="4" fontId="2" fillId="0" borderId="17" xfId="50" applyNumberFormat="1" applyFont="1" applyBorder="1">
      <alignment/>
      <protection/>
    </xf>
    <xf numFmtId="4" fontId="2" fillId="0" borderId="26" xfId="50" applyNumberFormat="1" applyFont="1" applyBorder="1">
      <alignment/>
      <protection/>
    </xf>
    <xf numFmtId="4" fontId="2" fillId="0" borderId="17" xfId="50" applyNumberFormat="1" applyFont="1" applyBorder="1">
      <alignment/>
      <protection/>
    </xf>
    <xf numFmtId="4" fontId="5" fillId="0" borderId="17" xfId="50" applyNumberFormat="1" applyFont="1" applyBorder="1">
      <alignment/>
      <protection/>
    </xf>
    <xf numFmtId="4" fontId="2" fillId="37" borderId="27" xfId="50" applyNumberFormat="1" applyFont="1" applyFill="1" applyBorder="1">
      <alignment/>
      <protection/>
    </xf>
    <xf numFmtId="4" fontId="2" fillId="4" borderId="54" xfId="50" applyNumberFormat="1" applyFont="1" applyFill="1" applyBorder="1">
      <alignment/>
      <protection/>
    </xf>
    <xf numFmtId="4" fontId="2" fillId="4" borderId="55" xfId="50" applyNumberFormat="1" applyFont="1" applyFill="1" applyBorder="1">
      <alignment/>
      <protection/>
    </xf>
    <xf numFmtId="4" fontId="5" fillId="0" borderId="27" xfId="50" applyNumberFormat="1" applyFont="1" applyBorder="1">
      <alignment/>
      <protection/>
    </xf>
    <xf numFmtId="4" fontId="2" fillId="0" borderId="27" xfId="50" applyNumberFormat="1" applyFont="1" applyBorder="1">
      <alignment/>
      <protection/>
    </xf>
    <xf numFmtId="4" fontId="6" fillId="0" borderId="48" xfId="50" applyNumberFormat="1" applyFont="1" applyFill="1" applyBorder="1">
      <alignment/>
      <protection/>
    </xf>
    <xf numFmtId="4" fontId="6" fillId="0" borderId="16" xfId="50" applyNumberFormat="1" applyFont="1" applyFill="1" applyBorder="1">
      <alignment/>
      <protection/>
    </xf>
    <xf numFmtId="4" fontId="6" fillId="0" borderId="22" xfId="50" applyNumberFormat="1" applyFont="1" applyFill="1" applyBorder="1">
      <alignment/>
      <protection/>
    </xf>
    <xf numFmtId="4" fontId="2" fillId="0" borderId="56" xfId="50" applyNumberFormat="1" applyFont="1" applyFill="1" applyBorder="1">
      <alignment/>
      <protection/>
    </xf>
    <xf numFmtId="4" fontId="2" fillId="0" borderId="56" xfId="50" applyNumberFormat="1" applyFont="1" applyBorder="1">
      <alignment/>
      <protection/>
    </xf>
    <xf numFmtId="4" fontId="2" fillId="0" borderId="57" xfId="50" applyNumberFormat="1" applyFont="1" applyBorder="1">
      <alignment/>
      <protection/>
    </xf>
    <xf numFmtId="4" fontId="2" fillId="51" borderId="27" xfId="50" applyNumberFormat="1" applyFont="1" applyFill="1" applyBorder="1">
      <alignment/>
      <protection/>
    </xf>
    <xf numFmtId="4" fontId="2" fillId="0" borderId="27" xfId="0" applyNumberFormat="1" applyFont="1" applyBorder="1" applyAlignment="1">
      <alignment/>
    </xf>
    <xf numFmtId="4" fontId="2" fillId="0" borderId="11" xfId="50" applyNumberFormat="1" applyFont="1" applyFill="1" applyBorder="1">
      <alignment/>
      <protection/>
    </xf>
    <xf numFmtId="4" fontId="2" fillId="0" borderId="17" xfId="0" applyNumberFormat="1" applyFont="1" applyBorder="1" applyAlignment="1">
      <alignment/>
    </xf>
    <xf numFmtId="0" fontId="38" fillId="0" borderId="45" xfId="51" applyFont="1" applyFill="1" applyBorder="1">
      <alignment/>
      <protection/>
    </xf>
    <xf numFmtId="49" fontId="38" fillId="37" borderId="33" xfId="51" applyNumberFormat="1" applyFont="1" applyFill="1" applyBorder="1" applyAlignment="1">
      <alignment horizontal="left"/>
      <protection/>
    </xf>
    <xf numFmtId="4" fontId="2" fillId="0" borderId="33" xfId="0" applyNumberFormat="1" applyFont="1" applyBorder="1" applyAlignment="1">
      <alignment/>
    </xf>
    <xf numFmtId="4" fontId="2" fillId="0" borderId="45" xfId="50" applyNumberFormat="1" applyFont="1" applyFill="1" applyBorder="1">
      <alignment/>
      <protection/>
    </xf>
    <xf numFmtId="4" fontId="2" fillId="0" borderId="49" xfId="50" applyNumberFormat="1" applyFont="1" applyFill="1" applyBorder="1">
      <alignment/>
      <protection/>
    </xf>
    <xf numFmtId="4" fontId="6" fillId="0" borderId="33" xfId="50" applyNumberFormat="1" applyFont="1" applyFill="1" applyBorder="1">
      <alignment/>
      <protection/>
    </xf>
    <xf numFmtId="0" fontId="38" fillId="0" borderId="32" xfId="51" applyFont="1" applyFill="1" applyBorder="1">
      <alignment/>
      <protection/>
    </xf>
    <xf numFmtId="49" fontId="5" fillId="0" borderId="21" xfId="51" applyNumberFormat="1" applyFont="1" applyFill="1" applyBorder="1" applyAlignment="1">
      <alignment horizontal="left"/>
      <protection/>
    </xf>
    <xf numFmtId="4" fontId="2" fillId="0" borderId="21" xfId="50" applyNumberFormat="1" applyFont="1" applyFill="1" applyBorder="1">
      <alignment/>
      <protection/>
    </xf>
    <xf numFmtId="4" fontId="2" fillId="0" borderId="21" xfId="0" applyNumberFormat="1" applyFont="1" applyBorder="1" applyAlignment="1">
      <alignment/>
    </xf>
    <xf numFmtId="4" fontId="2" fillId="0" borderId="32" xfId="50" applyNumberFormat="1" applyFont="1" applyFill="1" applyBorder="1">
      <alignment/>
      <protection/>
    </xf>
    <xf numFmtId="4" fontId="2" fillId="0" borderId="22" xfId="50" applyNumberFormat="1" applyFont="1" applyFill="1" applyBorder="1">
      <alignment/>
      <protection/>
    </xf>
    <xf numFmtId="4" fontId="65" fillId="37" borderId="40" xfId="33" applyNumberFormat="1" applyFont="1" applyFill="1" applyBorder="1" applyAlignment="1">
      <alignment horizontal="right" vertical="center"/>
    </xf>
    <xf numFmtId="4" fontId="62" fillId="42" borderId="33" xfId="33" applyNumberFormat="1" applyFont="1" applyFill="1" applyBorder="1" applyAlignment="1">
      <alignment horizontal="right" vertical="center"/>
    </xf>
    <xf numFmtId="4" fontId="68" fillId="0" borderId="31" xfId="33" applyNumberFormat="1" applyFont="1" applyFill="1" applyBorder="1" applyAlignment="1">
      <alignment horizontal="right" vertical="center"/>
    </xf>
    <xf numFmtId="4" fontId="66" fillId="37" borderId="28" xfId="33" applyNumberFormat="1" applyFont="1" applyFill="1" applyBorder="1" applyAlignment="1">
      <alignment horizontal="right" vertical="center"/>
    </xf>
    <xf numFmtId="4" fontId="65" fillId="42" borderId="40" xfId="33" applyNumberFormat="1" applyFont="1" applyFill="1" applyBorder="1" applyAlignment="1">
      <alignment horizontal="right" vertical="center"/>
    </xf>
    <xf numFmtId="4" fontId="65" fillId="37" borderId="16" xfId="33" applyNumberFormat="1" applyFont="1" applyFill="1" applyBorder="1" applyAlignment="1">
      <alignment horizontal="right" vertical="center"/>
    </xf>
    <xf numFmtId="4" fontId="62" fillId="0" borderId="31" xfId="33" applyNumberFormat="1" applyFont="1" applyFill="1" applyBorder="1" applyAlignment="1">
      <alignment horizontal="right" vertical="center"/>
    </xf>
    <xf numFmtId="4" fontId="2" fillId="2" borderId="12" xfId="50" applyNumberFormat="1" applyFont="1" applyFill="1" applyBorder="1">
      <alignment/>
      <protection/>
    </xf>
    <xf numFmtId="4" fontId="100" fillId="2" borderId="12" xfId="50" applyNumberFormat="1" applyFont="1" applyFill="1" applyBorder="1">
      <alignment/>
      <protection/>
    </xf>
    <xf numFmtId="0" fontId="38" fillId="0" borderId="11" xfId="50" applyFont="1" applyFill="1" applyBorder="1" applyAlignment="1">
      <alignment wrapText="1"/>
      <protection/>
    </xf>
    <xf numFmtId="0" fontId="38" fillId="0" borderId="45" xfId="50" applyFont="1" applyFill="1" applyBorder="1" applyAlignment="1">
      <alignment wrapText="1"/>
      <protection/>
    </xf>
    <xf numFmtId="4" fontId="100" fillId="2" borderId="33" xfId="50" applyNumberFormat="1" applyFont="1" applyFill="1" applyBorder="1">
      <alignment/>
      <protection/>
    </xf>
    <xf numFmtId="4" fontId="2" fillId="2" borderId="33" xfId="50" applyNumberFormat="1" applyFont="1" applyFill="1" applyBorder="1">
      <alignment/>
      <protection/>
    </xf>
    <xf numFmtId="0" fontId="38" fillId="0" borderId="32" xfId="50" applyFont="1" applyFill="1" applyBorder="1" applyAlignment="1">
      <alignment wrapText="1"/>
      <protection/>
    </xf>
    <xf numFmtId="49" fontId="2" fillId="37" borderId="21" xfId="50" applyNumberFormat="1" applyFont="1" applyFill="1" applyBorder="1" applyAlignment="1">
      <alignment horizontal="left"/>
      <protection/>
    </xf>
    <xf numFmtId="4" fontId="2" fillId="2" borderId="21" xfId="50" applyNumberFormat="1" applyFont="1" applyFill="1" applyBorder="1">
      <alignment/>
      <protection/>
    </xf>
    <xf numFmtId="4" fontId="67" fillId="0" borderId="10" xfId="33" applyNumberFormat="1" applyFont="1" applyFill="1" applyBorder="1" applyAlignment="1">
      <alignment horizontal="right" vertical="center"/>
    </xf>
    <xf numFmtId="4" fontId="67" fillId="0" borderId="15" xfId="33" applyNumberFormat="1" applyFont="1" applyFill="1" applyBorder="1" applyAlignment="1">
      <alignment horizontal="right" vertical="center"/>
    </xf>
    <xf numFmtId="4" fontId="62" fillId="0" borderId="49" xfId="33" applyNumberFormat="1" applyFont="1" applyFill="1" applyBorder="1" applyAlignment="1">
      <alignment horizontal="right" vertical="center"/>
    </xf>
    <xf numFmtId="4" fontId="64" fillId="0" borderId="56" xfId="33" applyNumberFormat="1" applyFont="1" applyFill="1" applyBorder="1" applyAlignment="1">
      <alignment horizontal="right" vertical="center"/>
    </xf>
    <xf numFmtId="4" fontId="64" fillId="0" borderId="58" xfId="33" applyNumberFormat="1" applyFont="1" applyFill="1" applyBorder="1" applyAlignment="1">
      <alignment horizontal="right" vertical="center"/>
    </xf>
    <xf numFmtId="4" fontId="64" fillId="0" borderId="57" xfId="33" applyNumberFormat="1" applyFont="1" applyFill="1" applyBorder="1" applyAlignment="1">
      <alignment horizontal="right" vertical="center"/>
    </xf>
    <xf numFmtId="4" fontId="62" fillId="0" borderId="15" xfId="33" applyNumberFormat="1" applyFont="1" applyFill="1" applyBorder="1" applyAlignment="1">
      <alignment horizontal="right" vertical="center"/>
    </xf>
    <xf numFmtId="4" fontId="63" fillId="0" borderId="24" xfId="33" applyNumberFormat="1" applyFont="1" applyFill="1" applyBorder="1" applyAlignment="1">
      <alignment horizontal="right" vertical="center"/>
    </xf>
    <xf numFmtId="4" fontId="63" fillId="0" borderId="56" xfId="33" applyNumberFormat="1" applyFont="1" applyFill="1" applyBorder="1" applyAlignment="1">
      <alignment horizontal="right" vertical="center"/>
    </xf>
    <xf numFmtId="4" fontId="92" fillId="0" borderId="10" xfId="33" applyNumberFormat="1" applyFont="1" applyFill="1" applyBorder="1" applyAlignment="1">
      <alignment horizontal="right" vertical="center"/>
    </xf>
    <xf numFmtId="4" fontId="63" fillId="48" borderId="17" xfId="33" applyNumberFormat="1" applyFont="1" applyFill="1" applyBorder="1" applyAlignment="1">
      <alignment horizontal="right" vertical="center"/>
    </xf>
    <xf numFmtId="4" fontId="60" fillId="44" borderId="14" xfId="33" applyNumberFormat="1" applyFont="1" applyFill="1" applyBorder="1" applyAlignment="1">
      <alignment horizontal="right" vertical="center" wrapText="1"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>
      <alignment/>
      <protection/>
    </xf>
    <xf numFmtId="4" fontId="102" fillId="0" borderId="0" xfId="33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/>
    </xf>
    <xf numFmtId="49" fontId="38" fillId="37" borderId="40" xfId="51" applyNumberFormat="1" applyFont="1" applyFill="1" applyBorder="1" applyAlignment="1">
      <alignment horizontal="left"/>
      <protection/>
    </xf>
    <xf numFmtId="49" fontId="40" fillId="0" borderId="16" xfId="51" applyNumberFormat="1" applyFont="1" applyFill="1" applyBorder="1" applyAlignment="1">
      <alignment horizontal="left"/>
      <protection/>
    </xf>
    <xf numFmtId="49" fontId="5" fillId="0" borderId="16" xfId="51" applyNumberFormat="1" applyFont="1" applyFill="1" applyBorder="1" applyAlignment="1">
      <alignment horizontal="left"/>
      <protection/>
    </xf>
    <xf numFmtId="49" fontId="5" fillId="0" borderId="59" xfId="51" applyNumberFormat="1" applyFont="1" applyFill="1" applyBorder="1" applyAlignment="1">
      <alignment horizontal="left"/>
      <protection/>
    </xf>
    <xf numFmtId="49" fontId="38" fillId="37" borderId="59" xfId="51" applyNumberFormat="1" applyFont="1" applyFill="1" applyBorder="1" applyAlignment="1">
      <alignment horizontal="left"/>
      <protection/>
    </xf>
    <xf numFmtId="49" fontId="40" fillId="0" borderId="59" xfId="51" applyNumberFormat="1" applyFont="1" applyFill="1" applyBorder="1" applyAlignment="1">
      <alignment horizontal="left"/>
      <protection/>
    </xf>
    <xf numFmtId="49" fontId="5" fillId="0" borderId="22" xfId="51" applyNumberFormat="1" applyFont="1" applyFill="1" applyBorder="1" applyAlignment="1">
      <alignment horizontal="left"/>
      <protection/>
    </xf>
    <xf numFmtId="0" fontId="38" fillId="0" borderId="33" xfId="51" applyFont="1" applyFill="1" applyBorder="1">
      <alignment/>
      <protection/>
    </xf>
    <xf numFmtId="0" fontId="38" fillId="0" borderId="12" xfId="51" applyFont="1" applyFill="1" applyBorder="1">
      <alignment/>
      <protection/>
    </xf>
    <xf numFmtId="0" fontId="38" fillId="0" borderId="21" xfId="51" applyFont="1" applyFill="1" applyBorder="1">
      <alignment/>
      <protection/>
    </xf>
    <xf numFmtId="0" fontId="38" fillId="0" borderId="27" xfId="51" applyFont="1" applyFill="1" applyBorder="1">
      <alignment/>
      <protection/>
    </xf>
    <xf numFmtId="4" fontId="2" fillId="0" borderId="57" xfId="50" applyNumberFormat="1" applyFont="1" applyFill="1" applyBorder="1">
      <alignment/>
      <protection/>
    </xf>
    <xf numFmtId="4" fontId="2" fillId="0" borderId="57" xfId="0" applyNumberFormat="1" applyFont="1" applyBorder="1" applyAlignment="1">
      <alignment/>
    </xf>
    <xf numFmtId="4" fontId="2" fillId="0" borderId="51" xfId="50" applyNumberFormat="1" applyFont="1" applyFill="1" applyBorder="1">
      <alignment/>
      <protection/>
    </xf>
    <xf numFmtId="4" fontId="2" fillId="0" borderId="51" xfId="0" applyNumberFormat="1" applyFont="1" applyBorder="1" applyAlignment="1">
      <alignment/>
    </xf>
    <xf numFmtId="4" fontId="2" fillId="0" borderId="53" xfId="50" applyNumberFormat="1" applyFont="1" applyFill="1" applyBorder="1">
      <alignment/>
      <protection/>
    </xf>
    <xf numFmtId="4" fontId="2" fillId="0" borderId="53" xfId="0" applyNumberFormat="1" applyFont="1" applyBorder="1" applyAlignment="1">
      <alignment/>
    </xf>
    <xf numFmtId="49" fontId="5" fillId="0" borderId="60" xfId="51" applyNumberFormat="1" applyFont="1" applyFill="1" applyBorder="1" applyAlignment="1">
      <alignment horizontal="left"/>
      <protection/>
    </xf>
    <xf numFmtId="4" fontId="2" fillId="0" borderId="54" xfId="50" applyNumberFormat="1" applyFont="1" applyFill="1" applyBorder="1">
      <alignment/>
      <protection/>
    </xf>
    <xf numFmtId="4" fontId="2" fillId="0" borderId="36" xfId="50" applyNumberFormat="1" applyFont="1" applyFill="1" applyBorder="1">
      <alignment/>
      <protection/>
    </xf>
    <xf numFmtId="4" fontId="2" fillId="0" borderId="55" xfId="50" applyNumberFormat="1" applyFont="1" applyFill="1" applyBorder="1">
      <alignment/>
      <protection/>
    </xf>
    <xf numFmtId="4" fontId="2" fillId="0" borderId="59" xfId="50" applyNumberFormat="1" applyFont="1" applyFill="1" applyBorder="1">
      <alignment/>
      <protection/>
    </xf>
    <xf numFmtId="4" fontId="2" fillId="0" borderId="60" xfId="50" applyNumberFormat="1" applyFont="1" applyFill="1" applyBorder="1">
      <alignment/>
      <protection/>
    </xf>
    <xf numFmtId="4" fontId="0" fillId="0" borderId="33" xfId="0" applyNumberFormat="1" applyFont="1" applyBorder="1" applyAlignment="1">
      <alignment/>
    </xf>
    <xf numFmtId="4" fontId="100" fillId="0" borderId="0" xfId="0" applyNumberFormat="1" applyFont="1" applyAlignment="1">
      <alignment/>
    </xf>
    <xf numFmtId="4" fontId="103" fillId="0" borderId="15" xfId="53" applyNumberFormat="1" applyFont="1" applyFill="1" applyBorder="1" applyAlignment="1">
      <alignment horizontal="left" vertical="center" wrapText="1"/>
      <protection/>
    </xf>
    <xf numFmtId="4" fontId="10" fillId="37" borderId="14" xfId="53" applyNumberFormat="1" applyFont="1" applyFill="1" applyBorder="1" applyAlignment="1">
      <alignment horizontal="center" wrapText="1"/>
      <protection/>
    </xf>
    <xf numFmtId="4" fontId="2" fillId="0" borderId="32" xfId="0" applyNumberFormat="1" applyFont="1" applyBorder="1" applyAlignment="1">
      <alignment/>
    </xf>
    <xf numFmtId="4" fontId="2" fillId="0" borderId="12" xfId="51" applyNumberFormat="1" applyFont="1" applyBorder="1">
      <alignment/>
      <protection/>
    </xf>
    <xf numFmtId="4" fontId="2" fillId="0" borderId="27" xfId="51" applyNumberFormat="1" applyFont="1" applyBorder="1">
      <alignment/>
      <protection/>
    </xf>
    <xf numFmtId="4" fontId="2" fillId="37" borderId="12" xfId="51" applyNumberFormat="1" applyFont="1" applyFill="1" applyBorder="1">
      <alignment/>
      <protection/>
    </xf>
    <xf numFmtId="4" fontId="5" fillId="0" borderId="12" xfId="51" applyNumberFormat="1" applyFont="1" applyBorder="1">
      <alignment/>
      <protection/>
    </xf>
    <xf numFmtId="4" fontId="5" fillId="0" borderId="12" xfId="51" applyNumberFormat="1" applyFont="1" applyFill="1" applyBorder="1">
      <alignment/>
      <protection/>
    </xf>
    <xf numFmtId="4" fontId="2" fillId="0" borderId="27" xfId="51" applyNumberFormat="1" applyFont="1" applyFill="1" applyBorder="1">
      <alignment/>
      <protection/>
    </xf>
    <xf numFmtId="4" fontId="2" fillId="4" borderId="33" xfId="51" applyNumberFormat="1" applyFont="1" applyFill="1" applyBorder="1">
      <alignment/>
      <protection/>
    </xf>
    <xf numFmtId="4" fontId="2" fillId="4" borderId="27" xfId="51" applyNumberFormat="1" applyFont="1" applyFill="1" applyBorder="1">
      <alignment/>
      <protection/>
    </xf>
    <xf numFmtId="4" fontId="2" fillId="0" borderId="12" xfId="51" applyNumberFormat="1" applyFont="1" applyBorder="1">
      <alignment/>
      <protection/>
    </xf>
    <xf numFmtId="4" fontId="2" fillId="51" borderId="12" xfId="51" applyNumberFormat="1" applyFont="1" applyFill="1" applyBorder="1">
      <alignment/>
      <protection/>
    </xf>
    <xf numFmtId="4" fontId="2" fillId="51" borderId="27" xfId="51" applyNumberFormat="1" applyFont="1" applyFill="1" applyBorder="1">
      <alignment/>
      <protection/>
    </xf>
    <xf numFmtId="4" fontId="100" fillId="2" borderId="12" xfId="51" applyNumberFormat="1" applyFont="1" applyFill="1" applyBorder="1">
      <alignment/>
      <protection/>
    </xf>
    <xf numFmtId="4" fontId="100" fillId="2" borderId="21" xfId="51" applyNumberFormat="1" applyFont="1" applyFill="1" applyBorder="1">
      <alignment/>
      <protection/>
    </xf>
    <xf numFmtId="4" fontId="2" fillId="51" borderId="33" xfId="51" applyNumberFormat="1" applyFont="1" applyFill="1" applyBorder="1">
      <alignment/>
      <protection/>
    </xf>
    <xf numFmtId="4" fontId="2" fillId="0" borderId="21" xfId="51" applyNumberFormat="1" applyFont="1" applyFill="1" applyBorder="1">
      <alignment/>
      <protection/>
    </xf>
    <xf numFmtId="4" fontId="2" fillId="0" borderId="56" xfId="51" applyNumberFormat="1" applyFont="1" applyFill="1" applyBorder="1">
      <alignment/>
      <protection/>
    </xf>
    <xf numFmtId="4" fontId="2" fillId="0" borderId="57" xfId="51" applyNumberFormat="1" applyFont="1" applyFill="1" applyBorder="1">
      <alignment/>
      <protection/>
    </xf>
    <xf numFmtId="4" fontId="2" fillId="0" borderId="51" xfId="51" applyNumberFormat="1" applyFont="1" applyFill="1" applyBorder="1">
      <alignment/>
      <protection/>
    </xf>
    <xf numFmtId="4" fontId="2" fillId="0" borderId="53" xfId="51" applyNumberFormat="1" applyFont="1" applyFill="1" applyBorder="1">
      <alignment/>
      <protection/>
    </xf>
    <xf numFmtId="0" fontId="39" fillId="0" borderId="24" xfId="51" applyFont="1" applyFill="1" applyBorder="1" applyAlignment="1">
      <alignment horizontal="left"/>
      <protection/>
    </xf>
    <xf numFmtId="0" fontId="39" fillId="0" borderId="26" xfId="51" applyFont="1" applyFill="1" applyBorder="1" applyAlignment="1">
      <alignment horizontal="left"/>
      <protection/>
    </xf>
    <xf numFmtId="49" fontId="2" fillId="37" borderId="12" xfId="51" applyNumberFormat="1" applyFont="1" applyFill="1" applyBorder="1" applyAlignment="1">
      <alignment horizontal="left"/>
      <protection/>
    </xf>
    <xf numFmtId="0" fontId="38" fillId="0" borderId="45" xfId="51" applyFont="1" applyFill="1" applyBorder="1" applyAlignment="1">
      <alignment wrapText="1"/>
      <protection/>
    </xf>
    <xf numFmtId="49" fontId="2" fillId="37" borderId="33" xfId="51" applyNumberFormat="1" applyFont="1" applyFill="1" applyBorder="1" applyAlignment="1">
      <alignment horizontal="left"/>
      <protection/>
    </xf>
    <xf numFmtId="0" fontId="38" fillId="0" borderId="10" xfId="51" applyFont="1" applyFill="1" applyBorder="1" applyAlignment="1">
      <alignment wrapText="1"/>
      <protection/>
    </xf>
    <xf numFmtId="4" fontId="37" fillId="0" borderId="18" xfId="53" applyNumberFormat="1" applyFont="1" applyBorder="1" applyAlignment="1">
      <alignment horizontal="left" shrinkToFit="1"/>
      <protection/>
    </xf>
    <xf numFmtId="49" fontId="2" fillId="37" borderId="35" xfId="50" applyNumberFormat="1" applyFont="1" applyFill="1" applyBorder="1" applyAlignment="1">
      <alignment horizontal="left"/>
      <protection/>
    </xf>
    <xf numFmtId="4" fontId="2" fillId="4" borderId="35" xfId="50" applyNumberFormat="1" applyFont="1" applyFill="1" applyBorder="1">
      <alignment/>
      <protection/>
    </xf>
    <xf numFmtId="4" fontId="2" fillId="4" borderId="35" xfId="51" applyNumberFormat="1" applyFont="1" applyFill="1" applyBorder="1">
      <alignment/>
      <protection/>
    </xf>
    <xf numFmtId="4" fontId="6" fillId="4" borderId="35" xfId="50" applyNumberFormat="1" applyFont="1" applyFill="1" applyBorder="1">
      <alignment/>
      <protection/>
    </xf>
    <xf numFmtId="4" fontId="2" fillId="4" borderId="54" xfId="51" applyNumberFormat="1" applyFont="1" applyFill="1" applyBorder="1">
      <alignment/>
      <protection/>
    </xf>
    <xf numFmtId="4" fontId="2" fillId="4" borderId="55" xfId="51" applyNumberFormat="1" applyFont="1" applyFill="1" applyBorder="1">
      <alignment/>
      <protection/>
    </xf>
    <xf numFmtId="4" fontId="2" fillId="4" borderId="61" xfId="51" applyNumberFormat="1" applyFont="1" applyFill="1" applyBorder="1">
      <alignment/>
      <protection/>
    </xf>
    <xf numFmtId="4" fontId="2" fillId="4" borderId="60" xfId="51" applyNumberFormat="1" applyFont="1" applyFill="1" applyBorder="1">
      <alignment/>
      <protection/>
    </xf>
    <xf numFmtId="4" fontId="5" fillId="0" borderId="16" xfId="51" applyNumberFormat="1" applyFont="1" applyFill="1" applyBorder="1">
      <alignment/>
      <protection/>
    </xf>
    <xf numFmtId="4" fontId="2" fillId="4" borderId="21" xfId="50" applyNumberFormat="1" applyFont="1" applyFill="1" applyBorder="1">
      <alignment/>
      <protection/>
    </xf>
    <xf numFmtId="4" fontId="2" fillId="4" borderId="14" xfId="50" applyNumberFormat="1" applyFont="1" applyFill="1" applyBorder="1">
      <alignment/>
      <protection/>
    </xf>
    <xf numFmtId="4" fontId="5" fillId="0" borderId="21" xfId="50" applyNumberFormat="1" applyFont="1" applyFill="1" applyBorder="1">
      <alignment/>
      <protection/>
    </xf>
    <xf numFmtId="4" fontId="6" fillId="0" borderId="18" xfId="50" applyNumberFormat="1" applyFont="1" applyBorder="1" applyAlignment="1">
      <alignment horizontal="center" wrapText="1"/>
      <protection/>
    </xf>
    <xf numFmtId="4" fontId="6" fillId="35" borderId="45" xfId="50" applyNumberFormat="1" applyFont="1" applyFill="1" applyBorder="1">
      <alignment/>
      <protection/>
    </xf>
    <xf numFmtId="4" fontId="6" fillId="33" borderId="18" xfId="50" applyNumberFormat="1" applyFont="1" applyFill="1" applyBorder="1">
      <alignment/>
      <protection/>
    </xf>
    <xf numFmtId="4" fontId="2" fillId="0" borderId="10" xfId="51" applyNumberFormat="1" applyFont="1" applyFill="1" applyBorder="1" applyAlignment="1">
      <alignment wrapText="1"/>
      <protection/>
    </xf>
    <xf numFmtId="4" fontId="2" fillId="0" borderId="10" xfId="51" applyNumberFormat="1" applyFont="1" applyBorder="1">
      <alignment/>
      <protection/>
    </xf>
    <xf numFmtId="4" fontId="2" fillId="0" borderId="11" xfId="51" applyNumberFormat="1" applyFont="1" applyBorder="1">
      <alignment/>
      <protection/>
    </xf>
    <xf numFmtId="4" fontId="2" fillId="37" borderId="10" xfId="51" applyNumberFormat="1" applyFont="1" applyFill="1" applyBorder="1">
      <alignment/>
      <protection/>
    </xf>
    <xf numFmtId="4" fontId="2" fillId="0" borderId="10" xfId="52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4" fontId="5" fillId="0" borderId="10" xfId="51" applyNumberFormat="1" applyFont="1" applyFill="1" applyBorder="1">
      <alignment/>
      <protection/>
    </xf>
    <xf numFmtId="4" fontId="2" fillId="0" borderId="11" xfId="51" applyNumberFormat="1" applyFont="1" applyFill="1" applyBorder="1">
      <alignment/>
      <protection/>
    </xf>
    <xf numFmtId="4" fontId="2" fillId="4" borderId="45" xfId="51" applyNumberFormat="1" applyFont="1" applyFill="1" applyBorder="1">
      <alignment/>
      <protection/>
    </xf>
    <xf numFmtId="4" fontId="2" fillId="4" borderId="11" xfId="51" applyNumberFormat="1" applyFont="1" applyFill="1" applyBorder="1">
      <alignment/>
      <protection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5" fillId="36" borderId="18" xfId="50" applyNumberFormat="1" applyFont="1" applyFill="1" applyBorder="1">
      <alignment/>
      <protection/>
    </xf>
    <xf numFmtId="4" fontId="6" fillId="0" borderId="19" xfId="50" applyNumberFormat="1" applyFont="1" applyBorder="1" applyAlignment="1">
      <alignment horizontal="center"/>
      <protection/>
    </xf>
    <xf numFmtId="4" fontId="6" fillId="35" borderId="49" xfId="50" applyNumberFormat="1" applyFont="1" applyFill="1" applyBorder="1">
      <alignment/>
      <protection/>
    </xf>
    <xf numFmtId="4" fontId="2" fillId="0" borderId="16" xfId="50" applyNumberFormat="1" applyFont="1" applyFill="1" applyBorder="1" applyAlignment="1">
      <alignment wrapText="1"/>
      <protection/>
    </xf>
    <xf numFmtId="4" fontId="2" fillId="0" borderId="16" xfId="51" applyNumberFormat="1" applyFont="1" applyFill="1" applyBorder="1" applyAlignment="1">
      <alignment wrapText="1"/>
      <protection/>
    </xf>
    <xf numFmtId="4" fontId="16" fillId="0" borderId="16" xfId="50" applyNumberFormat="1" applyFont="1" applyFill="1" applyBorder="1">
      <alignment/>
      <protection/>
    </xf>
    <xf numFmtId="4" fontId="5" fillId="0" borderId="16" xfId="50" applyNumberFormat="1" applyFont="1" applyBorder="1">
      <alignment/>
      <protection/>
    </xf>
    <xf numFmtId="4" fontId="7" fillId="0" borderId="16" xfId="50" applyNumberFormat="1" applyFont="1" applyFill="1" applyBorder="1">
      <alignment/>
      <protection/>
    </xf>
    <xf numFmtId="4" fontId="6" fillId="4" borderId="61" xfId="50" applyNumberFormat="1" applyFont="1" applyFill="1" applyBorder="1">
      <alignment/>
      <protection/>
    </xf>
    <xf numFmtId="4" fontId="6" fillId="4" borderId="60" xfId="50" applyNumberFormat="1" applyFont="1" applyFill="1" applyBorder="1">
      <alignment/>
      <protection/>
    </xf>
    <xf numFmtId="4" fontId="6" fillId="0" borderId="40" xfId="50" applyNumberFormat="1" applyFont="1" applyFill="1" applyBorder="1">
      <alignment/>
      <protection/>
    </xf>
    <xf numFmtId="4" fontId="18" fillId="0" borderId="16" xfId="50" applyNumberFormat="1" applyFont="1" applyFill="1" applyBorder="1">
      <alignment/>
      <protection/>
    </xf>
    <xf numFmtId="4" fontId="18" fillId="0" borderId="48" xfId="50" applyNumberFormat="1" applyFont="1" applyFill="1" applyBorder="1">
      <alignment/>
      <protection/>
    </xf>
    <xf numFmtId="4" fontId="18" fillId="0" borderId="49" xfId="50" applyNumberFormat="1" applyFont="1" applyFill="1" applyBorder="1">
      <alignment/>
      <protection/>
    </xf>
    <xf numFmtId="4" fontId="18" fillId="0" borderId="22" xfId="50" applyNumberFormat="1" applyFont="1" applyFill="1" applyBorder="1">
      <alignment/>
      <protection/>
    </xf>
    <xf numFmtId="4" fontId="2" fillId="0" borderId="62" xfId="50" applyNumberFormat="1" applyFont="1" applyFill="1" applyBorder="1">
      <alignment/>
      <protection/>
    </xf>
    <xf numFmtId="4" fontId="5" fillId="36" borderId="19" xfId="50" applyNumberFormat="1" applyFont="1" applyFill="1" applyBorder="1">
      <alignment/>
      <protection/>
    </xf>
    <xf numFmtId="4" fontId="5" fillId="33" borderId="29" xfId="50" applyNumberFormat="1" applyFont="1" applyFill="1" applyBorder="1">
      <alignment/>
      <protection/>
    </xf>
    <xf numFmtId="4" fontId="6" fillId="35" borderId="19" xfId="50" applyNumberFormat="1" applyFont="1" applyFill="1" applyBorder="1">
      <alignment/>
      <protection/>
    </xf>
    <xf numFmtId="4" fontId="6" fillId="0" borderId="19" xfId="50" applyNumberFormat="1" applyFont="1" applyBorder="1">
      <alignment/>
      <protection/>
    </xf>
    <xf numFmtId="4" fontId="6" fillId="39" borderId="35" xfId="50" applyNumberFormat="1" applyFont="1" applyFill="1" applyBorder="1">
      <alignment/>
      <protection/>
    </xf>
    <xf numFmtId="4" fontId="5" fillId="33" borderId="28" xfId="50" applyNumberFormat="1" applyFont="1" applyFill="1" applyBorder="1">
      <alignment/>
      <protection/>
    </xf>
    <xf numFmtId="4" fontId="6" fillId="35" borderId="35" xfId="50" applyNumberFormat="1" applyFont="1" applyFill="1" applyBorder="1">
      <alignment/>
      <protection/>
    </xf>
    <xf numFmtId="4" fontId="18" fillId="0" borderId="26" xfId="50" applyNumberFormat="1" applyFont="1" applyBorder="1">
      <alignment/>
      <protection/>
    </xf>
    <xf numFmtId="4" fontId="16" fillId="0" borderId="26" xfId="50" applyNumberFormat="1" applyFont="1" applyBorder="1">
      <alignment/>
      <protection/>
    </xf>
    <xf numFmtId="4" fontId="26" fillId="0" borderId="26" xfId="50" applyNumberFormat="1" applyFont="1" applyBorder="1">
      <alignment/>
      <protection/>
    </xf>
    <xf numFmtId="4" fontId="6" fillId="39" borderId="14" xfId="50" applyNumberFormat="1" applyFont="1" applyFill="1" applyBorder="1">
      <alignment/>
      <protection/>
    </xf>
    <xf numFmtId="4" fontId="2" fillId="0" borderId="10" xfId="50" applyNumberFormat="1" applyFont="1" applyFill="1" applyBorder="1" applyAlignment="1">
      <alignment wrapText="1"/>
      <protection/>
    </xf>
    <xf numFmtId="4" fontId="2" fillId="37" borderId="10" xfId="50" applyNumberFormat="1" applyFont="1" applyFill="1" applyBorder="1">
      <alignment/>
      <protection/>
    </xf>
    <xf numFmtId="4" fontId="5" fillId="0" borderId="10" xfId="50" applyNumberFormat="1" applyFont="1" applyBorder="1">
      <alignment/>
      <protection/>
    </xf>
    <xf numFmtId="4" fontId="5" fillId="0" borderId="10" xfId="50" applyNumberFormat="1" applyFont="1" applyFill="1" applyBorder="1">
      <alignment/>
      <protection/>
    </xf>
    <xf numFmtId="4" fontId="2" fillId="0" borderId="37" xfId="51" applyNumberFormat="1" applyFont="1" applyFill="1" applyBorder="1">
      <alignment/>
      <protection/>
    </xf>
    <xf numFmtId="4" fontId="2" fillId="37" borderId="37" xfId="50" applyNumberFormat="1" applyFont="1" applyFill="1" applyBorder="1">
      <alignment/>
      <protection/>
    </xf>
    <xf numFmtId="4" fontId="2" fillId="0" borderId="38" xfId="50" applyNumberFormat="1" applyFont="1" applyFill="1" applyBorder="1">
      <alignment/>
      <protection/>
    </xf>
    <xf numFmtId="4" fontId="2" fillId="4" borderId="44" xfId="50" applyNumberFormat="1" applyFont="1" applyFill="1" applyBorder="1">
      <alignment/>
      <protection/>
    </xf>
    <xf numFmtId="4" fontId="2" fillId="4" borderId="38" xfId="50" applyNumberFormat="1" applyFont="1" applyFill="1" applyBorder="1">
      <alignment/>
      <protection/>
    </xf>
    <xf numFmtId="4" fontId="2" fillId="4" borderId="54" xfId="50" applyNumberFormat="1" applyFont="1" applyFill="1" applyBorder="1">
      <alignment/>
      <protection/>
    </xf>
    <xf numFmtId="4" fontId="2" fillId="4" borderId="55" xfId="50" applyNumberFormat="1" applyFont="1" applyFill="1" applyBorder="1">
      <alignment/>
      <protection/>
    </xf>
    <xf numFmtId="4" fontId="2" fillId="0" borderId="41" xfId="51" applyNumberFormat="1" applyFont="1" applyFill="1" applyBorder="1">
      <alignment/>
      <protection/>
    </xf>
    <xf numFmtId="4" fontId="5" fillId="0" borderId="37" xfId="50" applyNumberFormat="1" applyFont="1" applyFill="1" applyBorder="1">
      <alignment/>
      <protection/>
    </xf>
    <xf numFmtId="4" fontId="2" fillId="0" borderId="44" xfId="50" applyNumberFormat="1" applyFont="1" applyFill="1" applyBorder="1">
      <alignment/>
      <protection/>
    </xf>
    <xf numFmtId="4" fontId="2" fillId="0" borderId="34" xfId="50" applyNumberFormat="1" applyFont="1" applyFill="1" applyBorder="1">
      <alignment/>
      <protection/>
    </xf>
    <xf numFmtId="4" fontId="2" fillId="0" borderId="47" xfId="50" applyNumberFormat="1" applyFont="1" applyFill="1" applyBorder="1">
      <alignment/>
      <protection/>
    </xf>
    <xf numFmtId="4" fontId="7" fillId="34" borderId="19" xfId="52" applyNumberFormat="1" applyFont="1" applyFill="1" applyBorder="1" applyAlignment="1">
      <alignment horizontal="center" wrapText="1"/>
      <protection/>
    </xf>
    <xf numFmtId="4" fontId="104" fillId="0" borderId="16" xfId="50" applyNumberFormat="1" applyFont="1" applyFill="1" applyBorder="1">
      <alignment/>
      <protection/>
    </xf>
    <xf numFmtId="4" fontId="100" fillId="37" borderId="16" xfId="50" applyNumberFormat="1" applyFont="1" applyFill="1" applyBorder="1">
      <alignment/>
      <protection/>
    </xf>
    <xf numFmtId="4" fontId="100" fillId="0" borderId="16" xfId="50" applyNumberFormat="1" applyFont="1" applyFill="1" applyBorder="1">
      <alignment/>
      <protection/>
    </xf>
    <xf numFmtId="4" fontId="100" fillId="0" borderId="16" xfId="50" applyNumberFormat="1" applyFont="1" applyFill="1" applyBorder="1" applyAlignment="1">
      <alignment wrapText="1"/>
      <protection/>
    </xf>
    <xf numFmtId="4" fontId="2" fillId="51" borderId="61" xfId="50" applyNumberFormat="1" applyFont="1" applyFill="1" applyBorder="1">
      <alignment/>
      <protection/>
    </xf>
    <xf numFmtId="4" fontId="2" fillId="51" borderId="60" xfId="50" applyNumberFormat="1" applyFont="1" applyFill="1" applyBorder="1">
      <alignment/>
      <protection/>
    </xf>
    <xf numFmtId="4" fontId="2" fillId="4" borderId="61" xfId="50" applyNumberFormat="1" applyFont="1" applyFill="1" applyBorder="1">
      <alignment/>
      <protection/>
    </xf>
    <xf numFmtId="4" fontId="2" fillId="4" borderId="60" xfId="50" applyNumberFormat="1" applyFont="1" applyFill="1" applyBorder="1">
      <alignment/>
      <protection/>
    </xf>
    <xf numFmtId="4" fontId="2" fillId="0" borderId="16" xfId="50" applyNumberFormat="1" applyFont="1" applyFill="1" applyBorder="1">
      <alignment/>
      <protection/>
    </xf>
    <xf numFmtId="4" fontId="2" fillId="4" borderId="14" xfId="50" applyNumberFormat="1" applyFont="1" applyFill="1" applyBorder="1">
      <alignment/>
      <protection/>
    </xf>
    <xf numFmtId="4" fontId="37" fillId="0" borderId="17" xfId="53" applyNumberFormat="1" applyFont="1" applyBorder="1" applyAlignment="1">
      <alignment vertical="center" wrapText="1"/>
      <protection/>
    </xf>
    <xf numFmtId="3" fontId="39" fillId="0" borderId="14" xfId="53" applyNumberFormat="1" applyFont="1" applyBorder="1" applyAlignment="1">
      <alignment horizontal="left" vertical="center" wrapText="1"/>
      <protection/>
    </xf>
    <xf numFmtId="4" fontId="64" fillId="38" borderId="16" xfId="33" applyNumberFormat="1" applyFont="1" applyFill="1" applyBorder="1" applyAlignment="1">
      <alignment horizontal="right" vertical="center"/>
    </xf>
    <xf numFmtId="4" fontId="67" fillId="42" borderId="56" xfId="33" applyNumberFormat="1" applyFont="1" applyFill="1" applyBorder="1" applyAlignment="1">
      <alignment horizontal="right" vertical="center"/>
    </xf>
    <xf numFmtId="4" fontId="105" fillId="0" borderId="12" xfId="33" applyNumberFormat="1" applyFont="1" applyBorder="1" applyAlignment="1">
      <alignment horizontal="right" vertical="center"/>
    </xf>
    <xf numFmtId="4" fontId="106" fillId="0" borderId="0" xfId="52" applyNumberFormat="1" applyFont="1">
      <alignment/>
      <protection/>
    </xf>
    <xf numFmtId="0" fontId="38" fillId="0" borderId="17" xfId="51" applyFont="1" applyFill="1" applyBorder="1">
      <alignment/>
      <protection/>
    </xf>
    <xf numFmtId="0" fontId="2" fillId="0" borderId="11" xfId="50" applyFont="1" applyFill="1" applyBorder="1" applyAlignment="1">
      <alignment wrapText="1"/>
      <protection/>
    </xf>
    <xf numFmtId="4" fontId="6" fillId="37" borderId="11" xfId="50" applyNumberFormat="1" applyFont="1" applyFill="1" applyBorder="1">
      <alignment/>
      <protection/>
    </xf>
    <xf numFmtId="4" fontId="2" fillId="37" borderId="27" xfId="50" applyNumberFormat="1" applyFont="1" applyFill="1" applyBorder="1">
      <alignment/>
      <protection/>
    </xf>
    <xf numFmtId="4" fontId="2" fillId="37" borderId="38" xfId="50" applyNumberFormat="1" applyFont="1" applyFill="1" applyBorder="1">
      <alignment/>
      <protection/>
    </xf>
    <xf numFmtId="4" fontId="2" fillId="37" borderId="48" xfId="50" applyNumberFormat="1" applyFont="1" applyFill="1" applyBorder="1">
      <alignment/>
      <protection/>
    </xf>
    <xf numFmtId="4" fontId="6" fillId="0" borderId="15" xfId="50" applyNumberFormat="1" applyFont="1" applyFill="1" applyBorder="1">
      <alignment/>
      <protection/>
    </xf>
    <xf numFmtId="0" fontId="39" fillId="0" borderId="45" xfId="50" applyFont="1" applyFill="1" applyBorder="1" applyAlignment="1">
      <alignment horizontal="left"/>
      <protection/>
    </xf>
    <xf numFmtId="4" fontId="2" fillId="0" borderId="45" xfId="51" applyNumberFormat="1" applyFont="1" applyFill="1" applyBorder="1">
      <alignment/>
      <protection/>
    </xf>
    <xf numFmtId="4" fontId="6" fillId="0" borderId="49" xfId="50" applyNumberFormat="1" applyFont="1" applyFill="1" applyBorder="1">
      <alignment/>
      <protection/>
    </xf>
    <xf numFmtId="4" fontId="6" fillId="0" borderId="45" xfId="50" applyNumberFormat="1" applyFont="1" applyFill="1" applyBorder="1">
      <alignment/>
      <protection/>
    </xf>
    <xf numFmtId="4" fontId="6" fillId="0" borderId="24" xfId="50" applyNumberFormat="1" applyFont="1" applyFill="1" applyBorder="1">
      <alignment/>
      <protection/>
    </xf>
    <xf numFmtId="0" fontId="39" fillId="0" borderId="13" xfId="50" applyFont="1" applyFill="1" applyBorder="1" applyAlignment="1">
      <alignment horizontal="left"/>
      <protection/>
    </xf>
    <xf numFmtId="4" fontId="2" fillId="0" borderId="32" xfId="51" applyNumberFormat="1" applyFont="1" applyFill="1" applyBorder="1">
      <alignment/>
      <protection/>
    </xf>
    <xf numFmtId="4" fontId="6" fillId="0" borderId="32" xfId="50" applyNumberFormat="1" applyFont="1" applyFill="1" applyBorder="1">
      <alignment/>
      <protection/>
    </xf>
    <xf numFmtId="4" fontId="2" fillId="0" borderId="21" xfId="50" applyNumberFormat="1" applyFont="1" applyFill="1" applyBorder="1">
      <alignment/>
      <protection/>
    </xf>
    <xf numFmtId="0" fontId="39" fillId="0" borderId="50" xfId="50" applyFont="1" applyFill="1" applyBorder="1" applyAlignment="1">
      <alignment horizontal="left"/>
      <protection/>
    </xf>
    <xf numFmtId="49" fontId="2" fillId="37" borderId="49" xfId="50" applyNumberFormat="1" applyFont="1" applyFill="1" applyBorder="1" applyAlignment="1">
      <alignment horizontal="left"/>
      <protection/>
    </xf>
    <xf numFmtId="4" fontId="2" fillId="0" borderId="33" xfId="50" applyNumberFormat="1" applyFont="1" applyFill="1" applyBorder="1">
      <alignment/>
      <protection/>
    </xf>
    <xf numFmtId="4" fontId="6" fillId="0" borderId="39" xfId="50" applyNumberFormat="1" applyFont="1" applyFill="1" applyBorder="1">
      <alignment/>
      <protection/>
    </xf>
    <xf numFmtId="4" fontId="0" fillId="0" borderId="0" xfId="0" applyNumberFormat="1" applyFont="1" applyBorder="1" applyAlignment="1">
      <alignment/>
    </xf>
    <xf numFmtId="4" fontId="2" fillId="0" borderId="31" xfId="51" applyNumberFormat="1" applyFont="1" applyFill="1" applyBorder="1">
      <alignment/>
      <protection/>
    </xf>
    <xf numFmtId="4" fontId="2" fillId="0" borderId="13" xfId="51" applyNumberFormat="1" applyFont="1" applyFill="1" applyBorder="1">
      <alignment/>
      <protection/>
    </xf>
    <xf numFmtId="4" fontId="6" fillId="0" borderId="29" xfId="50" applyNumberFormat="1" applyFont="1" applyFill="1" applyBorder="1">
      <alignment/>
      <protection/>
    </xf>
    <xf numFmtId="4" fontId="6" fillId="0" borderId="13" xfId="50" applyNumberFormat="1" applyFont="1" applyFill="1" applyBorder="1">
      <alignment/>
      <protection/>
    </xf>
    <xf numFmtId="4" fontId="2" fillId="0" borderId="28" xfId="50" applyNumberFormat="1" applyFont="1" applyFill="1" applyBorder="1">
      <alignment/>
      <protection/>
    </xf>
    <xf numFmtId="0" fontId="39" fillId="0" borderId="63" xfId="50" applyFont="1" applyFill="1" applyBorder="1" applyAlignment="1">
      <alignment horizontal="left"/>
      <protection/>
    </xf>
    <xf numFmtId="49" fontId="2" fillId="37" borderId="48" xfId="50" applyNumberFormat="1" applyFont="1" applyFill="1" applyBorder="1" applyAlignment="1">
      <alignment horizontal="left"/>
      <protection/>
    </xf>
    <xf numFmtId="0" fontId="39" fillId="0" borderId="31" xfId="51" applyFont="1" applyFill="1" applyBorder="1" applyAlignment="1">
      <alignment horizontal="left"/>
      <protection/>
    </xf>
    <xf numFmtId="49" fontId="2" fillId="37" borderId="21" xfId="51" applyNumberFormat="1" applyFont="1" applyFill="1" applyBorder="1" applyAlignment="1">
      <alignment horizontal="left"/>
      <protection/>
    </xf>
    <xf numFmtId="4" fontId="2" fillId="0" borderId="38" xfId="51" applyNumberFormat="1" applyFont="1" applyFill="1" applyBorder="1">
      <alignment/>
      <protection/>
    </xf>
    <xf numFmtId="4" fontId="2" fillId="0" borderId="58" xfId="50" applyNumberFormat="1" applyFont="1" applyFill="1" applyBorder="1">
      <alignment/>
      <protection/>
    </xf>
    <xf numFmtId="4" fontId="2" fillId="0" borderId="58" xfId="51" applyNumberFormat="1" applyFont="1" applyFill="1" applyBorder="1">
      <alignment/>
      <protection/>
    </xf>
    <xf numFmtId="4" fontId="2" fillId="0" borderId="64" xfId="50" applyNumberFormat="1" applyFont="1" applyFill="1" applyBorder="1">
      <alignment/>
      <protection/>
    </xf>
    <xf numFmtId="4" fontId="2" fillId="0" borderId="46" xfId="50" applyNumberFormat="1" applyFont="1" applyFill="1" applyBorder="1">
      <alignment/>
      <protection/>
    </xf>
    <xf numFmtId="0" fontId="38" fillId="0" borderId="11" xfId="51" applyFont="1" applyFill="1" applyBorder="1">
      <alignment/>
      <protection/>
    </xf>
    <xf numFmtId="49" fontId="5" fillId="0" borderId="27" xfId="51" applyNumberFormat="1" applyFont="1" applyFill="1" applyBorder="1" applyAlignment="1">
      <alignment horizontal="left"/>
      <protection/>
    </xf>
    <xf numFmtId="0" fontId="2" fillId="0" borderId="45" xfId="50" applyFont="1" applyFill="1" applyBorder="1" applyAlignment="1">
      <alignment wrapText="1"/>
      <protection/>
    </xf>
    <xf numFmtId="49" fontId="2" fillId="37" borderId="45" xfId="50" applyNumberFormat="1" applyFont="1" applyFill="1" applyBorder="1" applyAlignment="1">
      <alignment horizontal="left"/>
      <protection/>
    </xf>
    <xf numFmtId="0" fontId="39" fillId="0" borderId="33" xfId="50" applyFont="1" applyFill="1" applyBorder="1" applyAlignment="1">
      <alignment horizontal="left"/>
      <protection/>
    </xf>
    <xf numFmtId="0" fontId="39" fillId="0" borderId="21" xfId="50" applyFont="1" applyFill="1" applyBorder="1" applyAlignment="1">
      <alignment horizontal="left"/>
      <protection/>
    </xf>
    <xf numFmtId="4" fontId="2" fillId="0" borderId="44" xfId="51" applyNumberFormat="1" applyFont="1" applyFill="1" applyBorder="1">
      <alignment/>
      <protection/>
    </xf>
    <xf numFmtId="4" fontId="6" fillId="0" borderId="27" xfId="50" applyNumberFormat="1" applyFont="1" applyFill="1" applyBorder="1">
      <alignment/>
      <protection/>
    </xf>
    <xf numFmtId="4" fontId="6" fillId="0" borderId="21" xfId="50" applyNumberFormat="1" applyFont="1" applyFill="1" applyBorder="1">
      <alignment/>
      <protection/>
    </xf>
    <xf numFmtId="4" fontId="2" fillId="0" borderId="29" xfId="50" applyNumberFormat="1" applyFont="1" applyFill="1" applyBorder="1">
      <alignment/>
      <protection/>
    </xf>
    <xf numFmtId="4" fontId="0" fillId="0" borderId="21" xfId="0" applyNumberFormat="1" applyFont="1" applyBorder="1" applyAlignment="1">
      <alignment/>
    </xf>
    <xf numFmtId="3" fontId="39" fillId="0" borderId="26" xfId="53" applyNumberFormat="1" applyFont="1" applyBorder="1" applyAlignment="1">
      <alignment horizontal="left" vertical="center" wrapText="1"/>
      <protection/>
    </xf>
    <xf numFmtId="49" fontId="2" fillId="37" borderId="39" xfId="51" applyNumberFormat="1" applyFont="1" applyFill="1" applyBorder="1" applyAlignment="1">
      <alignment horizontal="left"/>
      <protection/>
    </xf>
    <xf numFmtId="4" fontId="2" fillId="0" borderId="26" xfId="51" applyNumberFormat="1" applyFont="1" applyFill="1" applyBorder="1">
      <alignment/>
      <protection/>
    </xf>
    <xf numFmtId="4" fontId="2" fillId="0" borderId="30" xfId="51" applyNumberFormat="1" applyFont="1" applyFill="1" applyBorder="1">
      <alignment/>
      <protection/>
    </xf>
    <xf numFmtId="4" fontId="6" fillId="0" borderId="30" xfId="50" applyNumberFormat="1" applyFont="1" applyFill="1" applyBorder="1">
      <alignment/>
      <protection/>
    </xf>
    <xf numFmtId="4" fontId="2" fillId="0" borderId="26" xfId="50" applyNumberFormat="1" applyFont="1" applyFill="1" applyBorder="1">
      <alignment/>
      <protection/>
    </xf>
    <xf numFmtId="49" fontId="2" fillId="37" borderId="19" xfId="51" applyNumberFormat="1" applyFont="1" applyFill="1" applyBorder="1" applyAlignment="1">
      <alignment horizontal="left"/>
      <protection/>
    </xf>
    <xf numFmtId="4" fontId="2" fillId="0" borderId="14" xfId="50" applyNumberFormat="1" applyFont="1" applyFill="1" applyBorder="1">
      <alignment/>
      <protection/>
    </xf>
    <xf numFmtId="4" fontId="2" fillId="0" borderId="14" xfId="50" applyNumberFormat="1" applyFont="1" applyBorder="1">
      <alignment/>
      <protection/>
    </xf>
    <xf numFmtId="4" fontId="2" fillId="0" borderId="14" xfId="51" applyNumberFormat="1" applyFont="1" applyFill="1" applyBorder="1">
      <alignment/>
      <protection/>
    </xf>
    <xf numFmtId="4" fontId="2" fillId="0" borderId="18" xfId="51" applyNumberFormat="1" applyFont="1" applyFill="1" applyBorder="1">
      <alignment/>
      <protection/>
    </xf>
    <xf numFmtId="4" fontId="6" fillId="0" borderId="19" xfId="50" applyNumberFormat="1" applyFont="1" applyFill="1" applyBorder="1">
      <alignment/>
      <protection/>
    </xf>
    <xf numFmtId="4" fontId="6" fillId="0" borderId="18" xfId="50" applyNumberFormat="1" applyFont="1" applyFill="1" applyBorder="1">
      <alignment/>
      <protection/>
    </xf>
    <xf numFmtId="4" fontId="0" fillId="0" borderId="35" xfId="0" applyNumberFormat="1" applyFont="1" applyBorder="1" applyAlignment="1">
      <alignment/>
    </xf>
    <xf numFmtId="4" fontId="2" fillId="0" borderId="14" xfId="50" applyNumberFormat="1" applyFont="1" applyFill="1" applyBorder="1">
      <alignment/>
      <protection/>
    </xf>
    <xf numFmtId="4" fontId="6" fillId="4" borderId="44" xfId="50" applyNumberFormat="1" applyFont="1" applyFill="1" applyBorder="1">
      <alignment/>
      <protection/>
    </xf>
    <xf numFmtId="4" fontId="6" fillId="4" borderId="38" xfId="50" applyNumberFormat="1" applyFont="1" applyFill="1" applyBorder="1">
      <alignment/>
      <protection/>
    </xf>
    <xf numFmtId="4" fontId="6" fillId="4" borderId="21" xfId="50" applyNumberFormat="1" applyFont="1" applyFill="1" applyBorder="1">
      <alignment/>
      <protection/>
    </xf>
    <xf numFmtId="4" fontId="2" fillId="4" borderId="21" xfId="51" applyNumberFormat="1" applyFont="1" applyFill="1" applyBorder="1">
      <alignment/>
      <protection/>
    </xf>
    <xf numFmtId="4" fontId="2" fillId="4" borderId="14" xfId="51" applyNumberFormat="1" applyFont="1" applyFill="1" applyBorder="1">
      <alignment/>
      <protection/>
    </xf>
    <xf numFmtId="49" fontId="2" fillId="37" borderId="54" xfId="50" applyNumberFormat="1" applyFont="1" applyFill="1" applyBorder="1" applyAlignment="1">
      <alignment horizontal="left"/>
      <protection/>
    </xf>
    <xf numFmtId="49" fontId="2" fillId="37" borderId="55" xfId="50" applyNumberFormat="1" applyFont="1" applyFill="1" applyBorder="1" applyAlignment="1">
      <alignment horizontal="left"/>
      <protection/>
    </xf>
    <xf numFmtId="4" fontId="2" fillId="4" borderId="34" xfId="50" applyNumberFormat="1" applyFont="1" applyFill="1" applyBorder="1">
      <alignment/>
      <protection/>
    </xf>
    <xf numFmtId="4" fontId="2" fillId="4" borderId="44" xfId="51" applyNumberFormat="1" applyFont="1" applyFill="1" applyBorder="1">
      <alignment/>
      <protection/>
    </xf>
    <xf numFmtId="4" fontId="2" fillId="4" borderId="34" xfId="51" applyNumberFormat="1" applyFont="1" applyFill="1" applyBorder="1">
      <alignment/>
      <protection/>
    </xf>
    <xf numFmtId="4" fontId="6" fillId="4" borderId="14" xfId="50" applyNumberFormat="1" applyFont="1" applyFill="1" applyBorder="1">
      <alignment/>
      <protection/>
    </xf>
    <xf numFmtId="4" fontId="6" fillId="4" borderId="34" xfId="50" applyNumberFormat="1" applyFont="1" applyFill="1" applyBorder="1">
      <alignment/>
      <protection/>
    </xf>
    <xf numFmtId="0" fontId="39" fillId="0" borderId="32" xfId="50" applyFont="1" applyFill="1" applyBorder="1" applyAlignment="1">
      <alignment horizontal="left"/>
      <protection/>
    </xf>
    <xf numFmtId="4" fontId="2" fillId="0" borderId="11" xfId="50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4" fontId="26" fillId="0" borderId="14" xfId="50" applyNumberFormat="1" applyFont="1" applyBorder="1">
      <alignment/>
      <protection/>
    </xf>
    <xf numFmtId="4" fontId="67" fillId="0" borderId="40" xfId="33" applyNumberFormat="1" applyFont="1" applyFill="1" applyBorder="1" applyAlignment="1">
      <alignment horizontal="right" vertical="center"/>
    </xf>
    <xf numFmtId="4" fontId="66" fillId="0" borderId="21" xfId="33" applyNumberFormat="1" applyFont="1" applyBorder="1" applyAlignment="1">
      <alignment horizontal="right" vertical="center"/>
    </xf>
    <xf numFmtId="4" fontId="62" fillId="0" borderId="39" xfId="33" applyNumberFormat="1" applyFont="1" applyFill="1" applyBorder="1" applyAlignment="1">
      <alignment horizontal="right" vertical="center"/>
    </xf>
    <xf numFmtId="4" fontId="66" fillId="37" borderId="17" xfId="33" applyNumberFormat="1" applyFont="1" applyFill="1" applyBorder="1" applyAlignment="1">
      <alignment horizontal="right" vertical="center"/>
    </xf>
    <xf numFmtId="4" fontId="62" fillId="51" borderId="17" xfId="33" applyNumberFormat="1" applyFont="1" applyFill="1" applyBorder="1" applyAlignment="1">
      <alignment horizontal="right" vertical="center"/>
    </xf>
    <xf numFmtId="4" fontId="2" fillId="0" borderId="58" xfId="0" applyNumberFormat="1" applyFont="1" applyBorder="1" applyAlignment="1">
      <alignment/>
    </xf>
    <xf numFmtId="4" fontId="2" fillId="0" borderId="37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13" fillId="0" borderId="37" xfId="52" applyNumberFormat="1" applyFont="1" applyBorder="1">
      <alignment/>
      <protection/>
    </xf>
    <xf numFmtId="49" fontId="40" fillId="0" borderId="37" xfId="51" applyNumberFormat="1" applyFont="1" applyFill="1" applyBorder="1" applyAlignment="1">
      <alignment horizontal="left"/>
      <protection/>
    </xf>
    <xf numFmtId="49" fontId="5" fillId="0" borderId="38" xfId="51" applyNumberFormat="1" applyFont="1" applyFill="1" applyBorder="1" applyAlignment="1">
      <alignment horizontal="left"/>
      <protection/>
    </xf>
    <xf numFmtId="49" fontId="38" fillId="37" borderId="44" xfId="51" applyNumberFormat="1" applyFont="1" applyFill="1" applyBorder="1" applyAlignment="1">
      <alignment horizontal="left"/>
      <protection/>
    </xf>
    <xf numFmtId="4" fontId="2" fillId="0" borderId="54" xfId="0" applyNumberFormat="1" applyFont="1" applyBorder="1" applyAlignment="1">
      <alignment/>
    </xf>
    <xf numFmtId="4" fontId="2" fillId="0" borderId="61" xfId="50" applyNumberFormat="1" applyFont="1" applyFill="1" applyBorder="1">
      <alignment/>
      <protection/>
    </xf>
    <xf numFmtId="4" fontId="2" fillId="0" borderId="55" xfId="0" applyNumberFormat="1" applyFont="1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Font="1" applyBorder="1" applyAlignment="1">
      <alignment/>
    </xf>
    <xf numFmtId="0" fontId="38" fillId="0" borderId="65" xfId="51" applyFont="1" applyFill="1" applyBorder="1">
      <alignment/>
      <protection/>
    </xf>
    <xf numFmtId="49" fontId="5" fillId="0" borderId="58" xfId="51" applyNumberFormat="1" applyFont="1" applyFill="1" applyBorder="1" applyAlignment="1">
      <alignment horizontal="left"/>
      <protection/>
    </xf>
    <xf numFmtId="4" fontId="2" fillId="0" borderId="46" xfId="0" applyNumberFormat="1" applyFont="1" applyBorder="1" applyAlignment="1">
      <alignment/>
    </xf>
    <xf numFmtId="49" fontId="5" fillId="0" borderId="51" xfId="51" applyNumberFormat="1" applyFont="1" applyFill="1" applyBorder="1" applyAlignment="1">
      <alignment horizontal="left"/>
      <protection/>
    </xf>
    <xf numFmtId="0" fontId="0" fillId="0" borderId="52" xfId="0" applyBorder="1" applyAlignment="1">
      <alignment/>
    </xf>
    <xf numFmtId="49" fontId="2" fillId="0" borderId="53" xfId="50" applyNumberFormat="1" applyFont="1" applyFill="1" applyBorder="1">
      <alignment/>
      <protection/>
    </xf>
    <xf numFmtId="4" fontId="0" fillId="0" borderId="53" xfId="0" applyNumberFormat="1" applyFont="1" applyBorder="1" applyAlignment="1">
      <alignment/>
    </xf>
    <xf numFmtId="4" fontId="2" fillId="0" borderId="56" xfId="0" applyNumberFormat="1" applyFont="1" applyFill="1" applyBorder="1" applyAlignment="1">
      <alignment/>
    </xf>
    <xf numFmtId="4" fontId="2" fillId="0" borderId="56" xfId="51" applyNumberFormat="1" applyFont="1" applyBorder="1">
      <alignment/>
      <protection/>
    </xf>
    <xf numFmtId="49" fontId="5" fillId="0" borderId="56" xfId="50" applyNumberFormat="1" applyFont="1" applyFill="1" applyBorder="1" applyAlignment="1">
      <alignment horizontal="left"/>
      <protection/>
    </xf>
    <xf numFmtId="49" fontId="38" fillId="37" borderId="58" xfId="51" applyNumberFormat="1" applyFont="1" applyFill="1" applyBorder="1" applyAlignment="1">
      <alignment horizontal="left"/>
      <protection/>
    </xf>
    <xf numFmtId="49" fontId="38" fillId="37" borderId="61" xfId="51" applyNumberFormat="1" applyFont="1" applyFill="1" applyBorder="1" applyAlignment="1">
      <alignment horizontal="left"/>
      <protection/>
    </xf>
    <xf numFmtId="4" fontId="2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9" fontId="38" fillId="37" borderId="51" xfId="51" applyNumberFormat="1" applyFont="1" applyFill="1" applyBorder="1" applyAlignment="1">
      <alignment horizontal="left"/>
      <protection/>
    </xf>
    <xf numFmtId="4" fontId="2" fillId="0" borderId="51" xfId="50" applyNumberFormat="1" applyFont="1" applyBorder="1">
      <alignment/>
      <protection/>
    </xf>
    <xf numFmtId="4" fontId="2" fillId="0" borderId="51" xfId="0" applyNumberFormat="1" applyFont="1" applyFill="1" applyBorder="1" applyAlignment="1">
      <alignment/>
    </xf>
    <xf numFmtId="0" fontId="0" fillId="0" borderId="65" xfId="0" applyBorder="1" applyAlignment="1">
      <alignment/>
    </xf>
    <xf numFmtId="4" fontId="2" fillId="0" borderId="53" xfId="50" applyNumberFormat="1" applyFont="1" applyBorder="1">
      <alignment/>
      <protection/>
    </xf>
    <xf numFmtId="0" fontId="2" fillId="0" borderId="13" xfId="50" applyFont="1" applyFill="1" applyBorder="1" applyAlignment="1">
      <alignment wrapText="1"/>
      <protection/>
    </xf>
    <xf numFmtId="49" fontId="5" fillId="0" borderId="32" xfId="50" applyNumberFormat="1" applyFont="1" applyFill="1" applyBorder="1" applyAlignment="1">
      <alignment horizontal="left"/>
      <protection/>
    </xf>
    <xf numFmtId="4" fontId="103" fillId="0" borderId="13" xfId="52" applyNumberFormat="1" applyFont="1" applyFill="1" applyBorder="1" applyAlignment="1">
      <alignment horizontal="left" vertical="center" wrapText="1"/>
      <protection/>
    </xf>
    <xf numFmtId="4" fontId="5" fillId="0" borderId="0" xfId="52" applyNumberFormat="1" applyFont="1">
      <alignment/>
      <protection/>
    </xf>
    <xf numFmtId="4" fontId="102" fillId="44" borderId="0" xfId="33" applyNumberFormat="1" applyFont="1" applyFill="1" applyBorder="1" applyAlignment="1">
      <alignment horizontal="right" vertical="center" wrapText="1"/>
    </xf>
    <xf numFmtId="4" fontId="63" fillId="0" borderId="16" xfId="33" applyNumberFormat="1" applyFont="1" applyFill="1" applyBorder="1" applyAlignment="1">
      <alignment horizontal="right" vertical="center" wrapText="1"/>
    </xf>
    <xf numFmtId="4" fontId="62" fillId="10" borderId="31" xfId="33" applyNumberFormat="1" applyFont="1" applyFill="1" applyBorder="1" applyAlignment="1">
      <alignment horizontal="right" vertical="center"/>
    </xf>
    <xf numFmtId="4" fontId="62" fillId="10" borderId="28" xfId="33" applyNumberFormat="1" applyFont="1" applyFill="1" applyBorder="1" applyAlignment="1">
      <alignment horizontal="right" vertical="center"/>
    </xf>
    <xf numFmtId="4" fontId="64" fillId="10" borderId="31" xfId="33" applyNumberFormat="1" applyFont="1" applyFill="1" applyBorder="1" applyAlignment="1">
      <alignment horizontal="right" vertical="center"/>
    </xf>
    <xf numFmtId="4" fontId="67" fillId="0" borderId="56" xfId="33" applyNumberFormat="1" applyFont="1" applyFill="1" applyBorder="1" applyAlignment="1">
      <alignment horizontal="right" vertical="center"/>
    </xf>
    <xf numFmtId="4" fontId="67" fillId="37" borderId="56" xfId="33" applyNumberFormat="1" applyFont="1" applyFill="1" applyBorder="1" applyAlignment="1">
      <alignment horizontal="right" vertical="center"/>
    </xf>
    <xf numFmtId="4" fontId="65" fillId="0" borderId="56" xfId="33" applyNumberFormat="1" applyFont="1" applyFill="1" applyBorder="1" applyAlignment="1">
      <alignment horizontal="right" vertical="center"/>
    </xf>
    <xf numFmtId="4" fontId="62" fillId="0" borderId="56" xfId="33" applyNumberFormat="1" applyFont="1" applyFill="1" applyBorder="1" applyAlignment="1">
      <alignment horizontal="right" vertical="center"/>
    </xf>
    <xf numFmtId="4" fontId="68" fillId="0" borderId="56" xfId="33" applyNumberFormat="1" applyFont="1" applyFill="1" applyBorder="1" applyAlignment="1">
      <alignment horizontal="right" vertical="center"/>
    </xf>
    <xf numFmtId="4" fontId="67" fillId="0" borderId="0" xfId="33" applyNumberFormat="1" applyFont="1" applyFill="1" applyBorder="1" applyAlignment="1">
      <alignment horizontal="right" vertical="center"/>
    </xf>
    <xf numFmtId="0" fontId="2" fillId="0" borderId="50" xfId="50" applyFont="1" applyFill="1" applyBorder="1">
      <alignment/>
      <protection/>
    </xf>
    <xf numFmtId="4" fontId="2" fillId="0" borderId="51" xfId="51" applyNumberFormat="1" applyFont="1" applyBorder="1">
      <alignment/>
      <protection/>
    </xf>
    <xf numFmtId="0" fontId="0" fillId="0" borderId="51" xfId="0" applyFont="1" applyBorder="1" applyAlignment="1">
      <alignment/>
    </xf>
    <xf numFmtId="4" fontId="37" fillId="0" borderId="11" xfId="53" applyNumberFormat="1" applyFont="1" applyBorder="1" applyAlignment="1">
      <alignment horizontal="left" vertical="center" wrapText="1"/>
      <protection/>
    </xf>
    <xf numFmtId="0" fontId="0" fillId="0" borderId="66" xfId="0" applyBorder="1" applyAlignment="1">
      <alignment/>
    </xf>
    <xf numFmtId="49" fontId="5" fillId="0" borderId="62" xfId="51" applyNumberFormat="1" applyFont="1" applyFill="1" applyBorder="1" applyAlignment="1">
      <alignment horizontal="left"/>
      <protection/>
    </xf>
    <xf numFmtId="4" fontId="2" fillId="0" borderId="57" xfId="51" applyNumberFormat="1" applyFont="1" applyBorder="1">
      <alignment/>
      <protection/>
    </xf>
    <xf numFmtId="0" fontId="0" fillId="0" borderId="57" xfId="0" applyFont="1" applyBorder="1" applyAlignment="1">
      <alignment/>
    </xf>
    <xf numFmtId="0" fontId="0" fillId="0" borderId="56" xfId="0" applyFont="1" applyBorder="1" applyAlignment="1">
      <alignment/>
    </xf>
    <xf numFmtId="49" fontId="5" fillId="0" borderId="17" xfId="50" applyNumberFormat="1" applyFont="1" applyFill="1" applyBorder="1" applyAlignment="1">
      <alignment horizontal="left"/>
      <protection/>
    </xf>
    <xf numFmtId="4" fontId="2" fillId="0" borderId="17" xfId="51" applyNumberFormat="1" applyFont="1" applyBorder="1">
      <alignment/>
      <protection/>
    </xf>
    <xf numFmtId="4" fontId="2" fillId="0" borderId="15" xfId="51" applyNumberFormat="1" applyFont="1" applyBorder="1">
      <alignment/>
      <protection/>
    </xf>
    <xf numFmtId="4" fontId="2" fillId="0" borderId="40" xfId="50" applyNumberFormat="1" applyFont="1" applyBorder="1">
      <alignment/>
      <protection/>
    </xf>
    <xf numFmtId="4" fontId="2" fillId="0" borderId="15" xfId="50" applyNumberFormat="1" applyFont="1" applyBorder="1">
      <alignment/>
      <protection/>
    </xf>
    <xf numFmtId="4" fontId="100" fillId="0" borderId="17" xfId="50" applyNumberFormat="1" applyFont="1" applyBorder="1">
      <alignment/>
      <protection/>
    </xf>
    <xf numFmtId="4" fontId="100" fillId="0" borderId="40" xfId="50" applyNumberFormat="1" applyFont="1" applyBorder="1">
      <alignment/>
      <protection/>
    </xf>
    <xf numFmtId="4" fontId="5" fillId="0" borderId="26" xfId="50" applyNumberFormat="1" applyFont="1" applyBorder="1">
      <alignment/>
      <protection/>
    </xf>
    <xf numFmtId="0" fontId="2" fillId="0" borderId="67" xfId="50" applyFont="1" applyFill="1" applyBorder="1">
      <alignment/>
      <protection/>
    </xf>
    <xf numFmtId="0" fontId="2" fillId="0" borderId="52" xfId="50" applyFont="1" applyFill="1" applyBorder="1">
      <alignment/>
      <protection/>
    </xf>
    <xf numFmtId="49" fontId="2" fillId="37" borderId="68" xfId="50" applyNumberFormat="1" applyFont="1" applyFill="1" applyBorder="1" applyAlignment="1">
      <alignment horizontal="left"/>
      <protection/>
    </xf>
    <xf numFmtId="4" fontId="2" fillId="0" borderId="68" xfId="50" applyNumberFormat="1" applyFont="1" applyBorder="1">
      <alignment/>
      <protection/>
    </xf>
    <xf numFmtId="4" fontId="2" fillId="0" borderId="68" xfId="50" applyNumberFormat="1" applyFont="1" applyFill="1" applyBorder="1">
      <alignment/>
      <protection/>
    </xf>
    <xf numFmtId="4" fontId="2" fillId="0" borderId="68" xfId="51" applyNumberFormat="1" applyFont="1" applyBorder="1">
      <alignment/>
      <protection/>
    </xf>
    <xf numFmtId="4" fontId="2" fillId="0" borderId="68" xfId="51" applyNumberFormat="1" applyFont="1" applyFill="1" applyBorder="1">
      <alignment/>
      <protection/>
    </xf>
    <xf numFmtId="4" fontId="100" fillId="0" borderId="68" xfId="50" applyNumberFormat="1" applyFont="1" applyBorder="1">
      <alignment/>
      <protection/>
    </xf>
    <xf numFmtId="4" fontId="7" fillId="34" borderId="18" xfId="53" applyNumberFormat="1" applyFont="1" applyFill="1" applyBorder="1" applyAlignment="1">
      <alignment wrapText="1"/>
      <protection/>
    </xf>
    <xf numFmtId="4" fontId="2" fillId="34" borderId="15" xfId="50" applyNumberFormat="1" applyFont="1" applyFill="1" applyBorder="1">
      <alignment/>
      <protection/>
    </xf>
    <xf numFmtId="4" fontId="101" fillId="37" borderId="10" xfId="50" applyNumberFormat="1" applyFont="1" applyFill="1" applyBorder="1">
      <alignment/>
      <protection/>
    </xf>
    <xf numFmtId="4" fontId="2" fillId="0" borderId="15" xfId="50" applyNumberFormat="1" applyFont="1" applyFill="1" applyBorder="1" applyAlignment="1">
      <alignment wrapText="1"/>
      <protection/>
    </xf>
    <xf numFmtId="4" fontId="2" fillId="0" borderId="15" xfId="50" applyNumberFormat="1" applyFont="1" applyFill="1" applyBorder="1" applyAlignment="1">
      <alignment wrapText="1"/>
      <protection/>
    </xf>
    <xf numFmtId="4" fontId="2" fillId="0" borderId="10" xfId="50" applyNumberFormat="1" applyFont="1" applyBorder="1">
      <alignment/>
      <protection/>
    </xf>
    <xf numFmtId="4" fontId="2" fillId="0" borderId="10" xfId="50" applyNumberFormat="1" applyFont="1" applyFill="1" applyBorder="1">
      <alignment/>
      <protection/>
    </xf>
    <xf numFmtId="4" fontId="2" fillId="0" borderId="32" xfId="50" applyNumberFormat="1" applyFont="1" applyBorder="1">
      <alignment/>
      <protection/>
    </xf>
    <xf numFmtId="4" fontId="101" fillId="0" borderId="15" xfId="50" applyNumberFormat="1" applyFont="1" applyFill="1" applyBorder="1">
      <alignment/>
      <protection/>
    </xf>
    <xf numFmtId="4" fontId="101" fillId="0" borderId="15" xfId="50" applyNumberFormat="1" applyFont="1" applyFill="1" applyBorder="1" applyAlignment="1">
      <alignment wrapText="1"/>
      <protection/>
    </xf>
    <xf numFmtId="4" fontId="18" fillId="0" borderId="15" xfId="50" applyNumberFormat="1" applyFont="1" applyFill="1" applyBorder="1" applyAlignment="1">
      <alignment wrapText="1"/>
      <protection/>
    </xf>
    <xf numFmtId="4" fontId="2" fillId="0" borderId="15" xfId="50" applyNumberFormat="1" applyFont="1" applyFill="1" applyBorder="1">
      <alignment/>
      <protection/>
    </xf>
    <xf numFmtId="4" fontId="100" fillId="37" borderId="15" xfId="50" applyNumberFormat="1" applyFont="1" applyFill="1" applyBorder="1">
      <alignment/>
      <protection/>
    </xf>
    <xf numFmtId="4" fontId="2" fillId="37" borderId="15" xfId="50" applyNumberFormat="1" applyFont="1" applyFill="1" applyBorder="1">
      <alignment/>
      <protection/>
    </xf>
    <xf numFmtId="4" fontId="2" fillId="37" borderId="11" xfId="50" applyNumberFormat="1" applyFont="1" applyFill="1" applyBorder="1">
      <alignment/>
      <protection/>
    </xf>
    <xf numFmtId="4" fontId="2" fillId="0" borderId="0" xfId="50" applyNumberFormat="1" applyFont="1" applyFill="1" applyBorder="1">
      <alignment/>
      <protection/>
    </xf>
    <xf numFmtId="4" fontId="2" fillId="0" borderId="35" xfId="50" applyNumberFormat="1" applyFont="1" applyFill="1" applyBorder="1">
      <alignment/>
      <protection/>
    </xf>
    <xf numFmtId="4" fontId="2" fillId="4" borderId="45" xfId="50" applyNumberFormat="1" applyFont="1" applyFill="1" applyBorder="1">
      <alignment/>
      <protection/>
    </xf>
    <xf numFmtId="4" fontId="2" fillId="4" borderId="11" xfId="50" applyNumberFormat="1" applyFont="1" applyFill="1" applyBorder="1">
      <alignment/>
      <protection/>
    </xf>
    <xf numFmtId="4" fontId="2" fillId="4" borderId="18" xfId="50" applyNumberFormat="1" applyFont="1" applyFill="1" applyBorder="1">
      <alignment/>
      <protection/>
    </xf>
    <xf numFmtId="4" fontId="2" fillId="37" borderId="10" xfId="50" applyNumberFormat="1" applyFont="1" applyFill="1" applyBorder="1">
      <alignment/>
      <protection/>
    </xf>
    <xf numFmtId="4" fontId="5" fillId="0" borderId="54" xfId="50" applyNumberFormat="1" applyFont="1" applyBorder="1">
      <alignment/>
      <protection/>
    </xf>
    <xf numFmtId="4" fontId="5" fillId="0" borderId="36" xfId="50" applyNumberFormat="1" applyFont="1" applyBorder="1">
      <alignment/>
      <protection/>
    </xf>
    <xf numFmtId="4" fontId="5" fillId="0" borderId="47" xfId="50" applyNumberFormat="1" applyFont="1" applyBorder="1">
      <alignment/>
      <protection/>
    </xf>
    <xf numFmtId="4" fontId="0" fillId="0" borderId="5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5" fillId="0" borderId="55" xfId="50" applyNumberFormat="1" applyFont="1" applyBorder="1">
      <alignment/>
      <protection/>
    </xf>
    <xf numFmtId="4" fontId="5" fillId="0" borderId="15" xfId="50" applyNumberFormat="1" applyFont="1" applyBorder="1">
      <alignment/>
      <protection/>
    </xf>
    <xf numFmtId="4" fontId="2" fillId="37" borderId="32" xfId="50" applyNumberFormat="1" applyFont="1" applyFill="1" applyBorder="1">
      <alignment/>
      <protection/>
    </xf>
    <xf numFmtId="4" fontId="6" fillId="41" borderId="49" xfId="50" applyNumberFormat="1" applyFont="1" applyFill="1" applyBorder="1">
      <alignment/>
      <protection/>
    </xf>
    <xf numFmtId="4" fontId="6" fillId="0" borderId="40" xfId="50" applyNumberFormat="1" applyFont="1" applyFill="1" applyBorder="1">
      <alignment/>
      <protection/>
    </xf>
    <xf numFmtId="4" fontId="6" fillId="4" borderId="49" xfId="50" applyNumberFormat="1" applyFont="1" applyFill="1" applyBorder="1">
      <alignment/>
      <protection/>
    </xf>
    <xf numFmtId="4" fontId="6" fillId="4" borderId="48" xfId="50" applyNumberFormat="1" applyFont="1" applyFill="1" applyBorder="1">
      <alignment/>
      <protection/>
    </xf>
    <xf numFmtId="4" fontId="6" fillId="4" borderId="22" xfId="50" applyNumberFormat="1" applyFont="1" applyFill="1" applyBorder="1">
      <alignment/>
      <protection/>
    </xf>
    <xf numFmtId="4" fontId="6" fillId="0" borderId="59" xfId="50" applyNumberFormat="1" applyFont="1" applyFill="1" applyBorder="1">
      <alignment/>
      <protection/>
    </xf>
    <xf numFmtId="4" fontId="6" fillId="0" borderId="62" xfId="50" applyNumberFormat="1" applyFont="1" applyFill="1" applyBorder="1">
      <alignment/>
      <protection/>
    </xf>
    <xf numFmtId="4" fontId="6" fillId="0" borderId="69" xfId="50" applyNumberFormat="1" applyFont="1" applyFill="1" applyBorder="1">
      <alignment/>
      <protection/>
    </xf>
    <xf numFmtId="4" fontId="2" fillId="0" borderId="31" xfId="50" applyNumberFormat="1" applyFont="1" applyFill="1" applyBorder="1">
      <alignment/>
      <protection/>
    </xf>
    <xf numFmtId="4" fontId="2" fillId="4" borderId="21" xfId="50" applyNumberFormat="1" applyFont="1" applyFill="1" applyBorder="1">
      <alignment/>
      <protection/>
    </xf>
    <xf numFmtId="4" fontId="5" fillId="0" borderId="33" xfId="50" applyNumberFormat="1" applyFont="1" applyBorder="1">
      <alignment/>
      <protection/>
    </xf>
    <xf numFmtId="4" fontId="5" fillId="0" borderId="31" xfId="50" applyNumberFormat="1" applyFont="1" applyBorder="1">
      <alignment/>
      <protection/>
    </xf>
    <xf numFmtId="0" fontId="6" fillId="0" borderId="0" xfId="50" applyFont="1" applyAlignment="1">
      <alignment horizontal="center" wrapText="1"/>
      <protection/>
    </xf>
    <xf numFmtId="4" fontId="2" fillId="0" borderId="0" xfId="52" applyNumberFormat="1" applyFont="1" applyFill="1">
      <alignment/>
      <protection/>
    </xf>
    <xf numFmtId="0" fontId="25" fillId="37" borderId="56" xfId="52" applyFont="1" applyFill="1" applyBorder="1" applyAlignment="1">
      <alignment horizontal="center"/>
      <protection/>
    </xf>
    <xf numFmtId="0" fontId="25" fillId="37" borderId="56" xfId="52" applyFont="1" applyFill="1" applyBorder="1">
      <alignment/>
      <protection/>
    </xf>
    <xf numFmtId="0" fontId="107" fillId="51" borderId="56" xfId="52" applyFont="1" applyFill="1" applyBorder="1">
      <alignment/>
      <protection/>
    </xf>
    <xf numFmtId="4" fontId="108" fillId="0" borderId="0" xfId="33" applyNumberFormat="1" applyFont="1" applyAlignment="1">
      <alignment/>
    </xf>
    <xf numFmtId="0" fontId="6" fillId="0" borderId="18" xfId="50" applyFont="1" applyFill="1" applyBorder="1" applyAlignment="1">
      <alignment horizontal="left" wrapText="1"/>
      <protection/>
    </xf>
    <xf numFmtId="0" fontId="6" fillId="0" borderId="19" xfId="50" applyFont="1" applyFill="1" applyBorder="1" applyAlignment="1">
      <alignment horizontal="left" wrapText="1"/>
      <protection/>
    </xf>
    <xf numFmtId="0" fontId="6" fillId="33" borderId="18" xfId="50" applyFont="1" applyFill="1" applyBorder="1" applyAlignment="1">
      <alignment horizontal="left" wrapText="1"/>
      <protection/>
    </xf>
    <xf numFmtId="0" fontId="6" fillId="33" borderId="19" xfId="50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/>
      <protection/>
    </xf>
    <xf numFmtId="4" fontId="6" fillId="16" borderId="30" xfId="52" applyNumberFormat="1" applyFont="1" applyFill="1" applyBorder="1" applyAlignment="1">
      <alignment horizontal="center"/>
      <protection/>
    </xf>
    <xf numFmtId="4" fontId="6" fillId="16" borderId="0" xfId="52" applyNumberFormat="1" applyFont="1" applyFill="1" applyBorder="1" applyAlignment="1">
      <alignment horizontal="center"/>
      <protection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250496_headcount" xfId="45"/>
    <cellStyle name="Normálna 2" xfId="46"/>
    <cellStyle name="normálne 2" xfId="47"/>
    <cellStyle name="normálne 2 2" xfId="48"/>
    <cellStyle name="normálne 3" xfId="49"/>
    <cellStyle name="normálne_Príloha è. 1 - AS STU r.2007" xfId="50"/>
    <cellStyle name="normálne_Príloha è. 1 - AS STU r.2007 2" xfId="51"/>
    <cellStyle name="normálne_Suhrn DOT 2005 dofinanc v maji + korekcia v dec05 2" xfId="52"/>
    <cellStyle name="normálne_Suhrn DOT 2005 dofinanc v maji + korekcia v dec05 3 2" xfId="53"/>
    <cellStyle name="Percent" xfId="54"/>
    <cellStyle name="percentá 2" xfId="55"/>
    <cellStyle name="percentá 2 2" xfId="56"/>
    <cellStyle name="Followed Hyperlink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MODEL%202002SR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oz99\V99-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My%20Documents\HZnov&#233;\Dotacia\DOT%202005\UPRAVY\Zv&#253;&#353;enie%20zn&#237;&#382;enia%20k%2031.12.05\Upravy%20TP%20jul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VYR9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datab&#225;za_&#353;tudentov_2005_PM_V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%20pre%20%20KR%2021%2002%20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STU%20S2FIIIT%20Kopie%20-%20Meder%20%20igr_doc_20040130_1a_r_2004_SR_V_9_opraveny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erly1\dokumenty_M1\r2002\r2002_DATABAZA_VS_a_metodika\r2002_rozpis_rozpo&#269;tu_pre_VS_SKK_VVZ_OK_V5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SD%202005_SR_V_17_19012005%20%20%20HZ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0STUmarec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navrh%20rozpisu%20k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MODEL%202002SR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05\r_2004_SR_V_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Roz99\SR-99\Roz99\V99-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\DATA.EXL\Roz2000\SR-2000\Prie9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okumenty\DATA.EXL\RVS\Dokumenty\DATA.EXL\ROZ98\VYKVS9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4\SR2004\R2003_navrh%20rozpisu%20kv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2\SR\r2002_rozpis_rozpo&#269;tu_pre_VS_V5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Dokumenty\Rok%202002\SR\r2002_rozpis_rozpo&#269;tu_pre_VS_V5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RDot\R2003_rozpis_dot&#225;cii_VVS_FIN_2003032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CSWIM86G\Dokumenty\Rok%202003\Rozpis%20%20z%20M&#352;\R2003_navrh%20rozpisu%20k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VYR98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anakova\My%20Documents\rozpo&#269;et\dot&#225;cia\dot&#225;cia_%202012\UD%20k%2031.3.2012\Upravy%20%20D%202012%20%20po%20AS_k_3_2012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R+CF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SjF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FEI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FCHP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FA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MTF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AppData\Local\Microsoft\Windows\INetCache\Content.Outlook\9PYXPBMC\FAKULTY\Dot&#225;cia_FIIT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Documents\Dot&#225;cia%202021\Pr&#237;jem%20dot&#225;cie\K&#243;pia%20-%20STU_Okt&#243;ber_2021.xlsx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loukova\Documents\Dot&#225;cia%202021\Poslan&#225;%20dot&#225;cia_v&#253;po&#269;et\Aktu&#225;lna%2012_2021_poslan&#225;%20dot&#225;cia_2021_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VY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Y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r2001_data_SO_ak0_verzia2_kvesto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Dokumenty\HZnov&#233;\Dotacia\DOT%202005\SD%202005%20vypo&#269;ty\DOT%202005%20pre%20AS%2021%2003%2005\MZDY%20-%20pokusy%20s%20C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hena11\zd_adr_sfr\St&#244;l-BV\2004\SR_2004\Arch&#237;v\r2004_navrh_rozpoctu%20G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idekova\Local%20Settings\Temporary%20Internet%20Files\Content.IE5\8PIJ8PAZ\r_2005_SR_V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0">
        <row r="2">
          <cell r="J2">
            <v>0.5</v>
          </cell>
        </row>
        <row r="45">
          <cell r="AK45">
            <v>13263.81745266041</v>
          </cell>
        </row>
        <row r="47">
          <cell r="AA47">
            <v>284425</v>
          </cell>
        </row>
        <row r="52">
          <cell r="AQ52">
            <v>476234761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prava- tarifné platy"/>
      <sheetName val="List2"/>
      <sheetName val="List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Legenda"/>
      <sheetName val="VYRM98D2"/>
      <sheetName val="VYRM98D"/>
      <sheetName val="VYRM98-10u"/>
      <sheetName val="VYRM97-12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 (2)"/>
      <sheetName val="Mp-Uči"/>
      <sheetName val="vyk95"/>
      <sheetName val="Stavy"/>
      <sheetName val="Mz01-96"/>
      <sheetName val="Mzdy95"/>
      <sheetName val="Mzdy96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oeficienty"/>
      <sheetName val="data"/>
      <sheetName val="sústava študijných odborov"/>
      <sheetName val="Poznámky"/>
    </sheetNames>
    <sheetDataSet>
      <sheetData sheetId="0">
        <row r="31">
          <cell r="D31">
            <v>1</v>
          </cell>
        </row>
        <row r="32">
          <cell r="D32">
            <v>0.3</v>
          </cell>
        </row>
        <row r="33">
          <cell r="D33">
            <v>1.5</v>
          </cell>
        </row>
        <row r="34">
          <cell r="D34">
            <v>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2-KPN"/>
      <sheetName val="T4-data_odbory"/>
      <sheetName val="T5-sumar_odbory"/>
      <sheetName val="T6-výkon"/>
      <sheetName val="List2"/>
      <sheetName val="Lis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1_rozpis STU 04 03"/>
      <sheetName val="T1-rozpisovy-list"/>
      <sheetName val="T2-KPN"/>
      <sheetName val="T3-vstupy"/>
      <sheetName val="T4-data_odbory"/>
      <sheetName val="T5-sumar_odbory"/>
      <sheetName val="T6-výkon"/>
      <sheetName val="T16-KKŠ"/>
      <sheetName val="T7-mzdyNIE"/>
      <sheetName val="T8-TaS"/>
      <sheetName val="T8-TaS  STU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7-Klinické"/>
    </sheetNames>
    <sheetDataSet>
      <sheetData sheetId="3">
        <row r="49">
          <cell r="C49">
            <v>2</v>
          </cell>
        </row>
        <row r="52">
          <cell r="C52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mzdy-TaS"/>
      <sheetName val="T15-sumár externe"/>
      <sheetName val="T16-rozpisovy-list"/>
      <sheetName val="T17-KKŠ"/>
      <sheetName val="T18-mená"/>
      <sheetName val="VVZ-hist-mzdy"/>
      <sheetName val="T3_vstupy"/>
    </sheetNames>
    <sheetDataSet>
      <sheetData sheetId="2">
        <row r="29">
          <cell r="C29">
            <v>2.27</v>
          </cell>
        </row>
        <row r="30">
          <cell r="C30">
            <v>1.89</v>
          </cell>
        </row>
        <row r="31">
          <cell r="C31">
            <v>1.5</v>
          </cell>
        </row>
        <row r="32">
          <cell r="C32">
            <v>1.13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 "/>
    </sheetNames>
    <sheetDataSet>
      <sheetData sheetId="2">
        <row r="48">
          <cell r="C48">
            <v>2</v>
          </cell>
        </row>
        <row r="49">
          <cell r="C49">
            <v>1.66</v>
          </cell>
        </row>
        <row r="50">
          <cell r="C50">
            <v>1.33</v>
          </cell>
        </row>
        <row r="51">
          <cell r="C51">
            <v>1</v>
          </cell>
        </row>
        <row r="76">
          <cell r="C76">
            <v>358751</v>
          </cell>
        </row>
        <row r="79">
          <cell r="C79">
            <v>48356.64799999999</v>
          </cell>
        </row>
        <row r="82">
          <cell r="C82">
            <v>37000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</sheetNames>
    <sheetDataSet>
      <sheetData sheetId="2">
        <row r="43">
          <cell r="C43">
            <v>3467843</v>
          </cell>
        </row>
        <row r="44">
          <cell r="C44">
            <v>0.95</v>
          </cell>
        </row>
        <row r="49">
          <cell r="C49">
            <v>246347</v>
          </cell>
        </row>
        <row r="60">
          <cell r="C60">
            <v>13500</v>
          </cell>
        </row>
        <row r="64">
          <cell r="C64">
            <v>723369.9360000007</v>
          </cell>
        </row>
        <row r="65">
          <cell r="C65">
            <v>0.5</v>
          </cell>
        </row>
        <row r="70">
          <cell r="C70">
            <v>300156</v>
          </cell>
        </row>
        <row r="100">
          <cell r="C100">
            <v>20</v>
          </cell>
        </row>
        <row r="105">
          <cell r="C105">
            <v>200</v>
          </cell>
        </row>
        <row r="106">
          <cell r="C106">
            <v>200</v>
          </cell>
        </row>
        <row r="108">
          <cell r="C108">
            <v>1</v>
          </cell>
        </row>
        <row r="109">
          <cell r="C109">
            <v>2</v>
          </cell>
        </row>
        <row r="110">
          <cell r="C110">
            <v>2.5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  <row r="66">
          <cell r="C66">
            <v>13500</v>
          </cell>
        </row>
        <row r="69">
          <cell r="C69">
            <v>875741.6000000001</v>
          </cell>
        </row>
        <row r="70">
          <cell r="C70">
            <v>1.1</v>
          </cell>
        </row>
        <row r="75">
          <cell r="C75">
            <v>58186.30000000014</v>
          </cell>
        </row>
        <row r="105">
          <cell r="C105">
            <v>17</v>
          </cell>
        </row>
        <row r="114">
          <cell r="C114">
            <v>200</v>
          </cell>
        </row>
        <row r="115">
          <cell r="C115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kaz"/>
      <sheetName val="SR"/>
      <sheetName val="SRzaokr."/>
      <sheetName val="PríjmyI."/>
      <sheetName val="KV"/>
      <sheetName val=" VVZ MŠ"/>
      <sheetName val="PPš 610-SR"/>
      <sheetName val="fixy-2"/>
      <sheetName val="630-Vie"/>
      <sheetName val="Stravné"/>
      <sheetName val="MP-ŠJ"/>
      <sheetName val="SP"/>
      <sheetName val="Fak-odb"/>
      <sheetName val="STU odb"/>
      <sheetName val="STU-nep"/>
      <sheetName val="transf"/>
      <sheetName val="T1 - vyp_KEN"/>
      <sheetName val="Priem2001"/>
      <sheetName val="#REF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7-mzdy (2)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štipendiá"/>
      <sheetName val="T16-KKŠ"/>
      <sheetName val="T17-Klinické"/>
      <sheetName val="T0-podklad-merge"/>
    </sheetNames>
    <sheetDataSet>
      <sheetData sheetId="1">
        <row r="27">
          <cell r="I27">
            <v>0.24152542372881355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kaz20"/>
      <sheetName val="Príjmy20"/>
      <sheetName val="kv20"/>
      <sheetName val="priplatky20"/>
      <sheetName val="Mzdy-20"/>
      <sheetName val="fondy 20"/>
      <sheetName val="fixy-ucel20"/>
      <sheetName val="Var-20"/>
      <sheetName val="630 § 01"/>
      <sheetName val="§ 01 Štip.dokt.20"/>
      <sheetName val="§18štip99"/>
      <sheetName val="RRP-20"/>
      <sheetName val="RRP-20 -Z"/>
      <sheetName val="RRP-20 -f"/>
      <sheetName val="VYK20"/>
      <sheetName val="Vys-99"/>
      <sheetName val="VVZvstupyTP"/>
      <sheetName val="nepd20vstup  "/>
      <sheetName val="Zložka"/>
      <sheetName val="zaMP99"/>
      <sheetName val="VVZvstupy"/>
      <sheetName val="mp0199"/>
      <sheetName val="MPnpd98-32"/>
      <sheetName val="Príjmy99-K"/>
      <sheetName val="čerpanie-98"/>
      <sheetName val="P-3"/>
    </sheetNames>
    <sheetDataSet>
      <sheetData sheetId="3">
        <row r="7">
          <cell r="B7">
            <v>400</v>
          </cell>
          <cell r="C7">
            <v>800</v>
          </cell>
          <cell r="K7">
            <v>100</v>
          </cell>
          <cell r="L7">
            <v>200</v>
          </cell>
        </row>
      </sheetData>
      <sheetData sheetId="21">
        <row r="33">
          <cell r="P33">
            <v>0.30080900097311114</v>
          </cell>
        </row>
      </sheetData>
      <sheetData sheetId="25">
        <row r="3">
          <cell r="N3">
            <v>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YR99-E"/>
      <sheetName val="VYR99-Fei"/>
      <sheetName val="VYR99-FEI2"/>
      <sheetName val="Uči-neuč"/>
      <sheetName val="priem-12"/>
      <sheetName val="VYRM98D"/>
    </sheetNames>
    <sheetDataSet>
      <sheetData sheetId="4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Pr-7"/>
      <sheetName val="Pr-8"/>
      <sheetName val="Pr-9"/>
      <sheetName val="Pr-10"/>
      <sheetName val="Pr-11"/>
      <sheetName val="Pr-12"/>
      <sheetName val="Pr-12 (2)"/>
    </sheetNames>
    <sheetDataSet>
      <sheetData sheetId="0">
        <row r="62">
          <cell r="P62">
            <v>53108</v>
          </cell>
        </row>
        <row r="64">
          <cell r="S64">
            <v>4840.250156467858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VYKVS98"/>
      <sheetName val="VVZ-VS97"/>
    </sheetNames>
    <sheetDataSet>
      <sheetData sheetId="2">
        <row r="3">
          <cell r="L3">
            <v>18500</v>
          </cell>
        </row>
        <row r="105">
          <cell r="I105">
            <v>16800580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64">
          <cell r="C64">
            <v>31500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1-Príjmy"/>
      <sheetName val="T2-KPN"/>
      <sheetName val="T3-vstupy"/>
      <sheetName val="T4-data_odbory"/>
      <sheetName val="T5-sumar_odbory"/>
      <sheetName val="T6-výkon"/>
      <sheetName val="T7-mzdy"/>
      <sheetName val="T8-TaS"/>
      <sheetName val="T9-bežný-transfer"/>
      <sheetName val="T10-prev_ŠD"/>
      <sheetName val="T11-sumár_ŠD"/>
      <sheetName val="T12-špecifiká"/>
      <sheetName val="T13-sumár-špec"/>
      <sheetName val="T14-VVZ-hist-mzdy"/>
      <sheetName val="T15-VVZ-mzdy-TaS"/>
      <sheetName val="T16-sumár externe"/>
      <sheetName val="rozpisovy-list"/>
      <sheetName val="mená"/>
    </sheetNames>
    <sheetDataSet>
      <sheetData sheetId="2">
        <row r="16">
          <cell r="C16">
            <v>2492220.716798809</v>
          </cell>
        </row>
        <row r="21">
          <cell r="C21">
            <v>0.97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</sheetNames>
    <sheetDataSet>
      <sheetData sheetId="2">
        <row r="92">
          <cell r="C92">
            <v>35000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List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  <sheetDataSet>
      <sheetData sheetId="5">
        <row r="49">
          <cell r="AA49">
            <v>157800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D 2012  po AS zaokr"/>
      <sheetName val="SD2012"/>
      <sheetName val="Hárok2"/>
      <sheetName val="Hárok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C5">
            <v>95251.51000000001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6159377.5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15048450.45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14946743.84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4265797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10318217.4</v>
          </cell>
          <cell r="C5">
            <v>148367.49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úpravy"/>
      <sheetName val="súhrnná po AS"/>
    </sheetNames>
    <sheetDataSet>
      <sheetData sheetId="1">
        <row r="5">
          <cell r="B5">
            <v>4186535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TU"/>
    </sheetNames>
    <sheetDataSet>
      <sheetData sheetId="0">
        <row r="5">
          <cell r="U5">
            <v>80208026.18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úhrnná po AS"/>
      <sheetName val="Súhrná po AS"/>
      <sheetName val="SvF"/>
      <sheetName val="SjF"/>
      <sheetName val="FEI"/>
      <sheetName val="FCHPT"/>
      <sheetName val="FA"/>
      <sheetName val="MTF"/>
      <sheetName val="FIIT"/>
      <sheetName val="ÚŠDaJ"/>
      <sheetName val="ÚM"/>
      <sheetName val="Rektorát"/>
      <sheetName val="MTF_nanocentrum"/>
      <sheetName val="poslané z MŠ"/>
      <sheetName val="Rezerva"/>
      <sheetName val="sumár"/>
      <sheetName val="rekapitulácia "/>
      <sheetName val="Hárok1"/>
      <sheetName val="vratky"/>
      <sheetName val="Záloha VEGA+KEGA"/>
      <sheetName val="príjem-mesačne (2)"/>
      <sheetName val="príjem-mesačneKV"/>
      <sheetName val="DAAD-príjem (2)"/>
      <sheetName val="vládne-príjem"/>
      <sheetName val="vládne - vratky"/>
      <sheetName val="vládne - vratky-výd"/>
      <sheetName val="06K12"/>
      <sheetName val="APVV-príjem (2)"/>
      <sheetName val="APVV-príjem"/>
      <sheetName val="vratky_VEGA_KEGA"/>
      <sheetName val=" vladny_vratka"/>
      <sheetName val="príjmová (3)"/>
      <sheetName val="príjmová (2)"/>
      <sheetName val="výavková"/>
      <sheetName val="dig.koalícia"/>
      <sheetName val="výdavková (2)"/>
      <sheetName val="výdavková"/>
      <sheetName val="vratky-príjem (2)"/>
      <sheetName val="zostatkový"/>
      <sheetName val="výskumníci"/>
      <sheetName val="Dig.koalicia"/>
    </sheetNames>
    <sheetDataSet>
      <sheetData sheetId="0">
        <row r="5">
          <cell r="B5">
            <v>13409862.5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em-12-98"/>
      <sheetName val="Pr-3"/>
      <sheetName val="Pr-4"/>
      <sheetName val="Pr-5"/>
      <sheetName val="Pr-6"/>
      <sheetName val="vyk95"/>
      <sheetName val="Mz01-96"/>
      <sheetName val="VYRM97-12"/>
      <sheetName val="Mp-Uči (2)"/>
      <sheetName val="laroux"/>
      <sheetName val="Legenda"/>
      <sheetName val="VYRM98D2"/>
      <sheetName val="VYRM98D"/>
      <sheetName val="VYRM98-10u"/>
      <sheetName val="VYRM97-12 (M)"/>
      <sheetName val="VYRM97-D5"/>
      <sheetName val="VYRM97-Dk-11"/>
      <sheetName val="VYRM97-D"/>
      <sheetName val="VYRM97-Dk"/>
      <sheetName val="VYRM96"/>
      <sheetName val="VYR96"/>
      <sheetName val="SHV-01"/>
      <sheetName val="Mp-Uči"/>
      <sheetName val="Stavy"/>
      <sheetName val="Mzdy95"/>
      <sheetName val="Mzdy9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1 - vyp_KEN"/>
      <sheetName val="T2 - KEN"/>
      <sheetName val="T3 - data_odbory"/>
      <sheetName val="T4 - sum_data"/>
      <sheetName val="T5 - vyp_vykon"/>
      <sheetName val="T6 - rozpis_610"/>
      <sheetName val="T7 - rozpis_630"/>
    </sheetNames>
    <sheetDataSet>
      <sheetData sheetId="1">
        <row r="5">
          <cell r="B5">
            <v>1.67</v>
          </cell>
        </row>
        <row r="7">
          <cell r="B7">
            <v>1.69</v>
          </cell>
        </row>
        <row r="9">
          <cell r="B9">
            <v>1.54</v>
          </cell>
        </row>
        <row r="10">
          <cell r="B10">
            <v>1.2</v>
          </cell>
        </row>
        <row r="18">
          <cell r="B18">
            <v>3.2</v>
          </cell>
        </row>
        <row r="19">
          <cell r="B19">
            <v>2.19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2-KPN POKUS"/>
      <sheetName val="T6-výkon 1500  POKUS"/>
      <sheetName val="T6-výkon 700  POKUS (2)"/>
      <sheetName val="T6-výkon 250  POKUS (3)"/>
      <sheetName val="List1"/>
      <sheetName val="List2"/>
      <sheetName val="Lis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0-podklad-merge"/>
    </sheetNames>
    <sheetDataSet>
      <sheetData sheetId="1">
        <row r="34">
          <cell r="D34">
            <v>1.5</v>
          </cell>
        </row>
        <row r="35">
          <cell r="D35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-rozpisovy-list"/>
      <sheetName val="T2-KPN"/>
      <sheetName val="T3-vstupy"/>
      <sheetName val="T4-data_odbory"/>
      <sheetName val="T5-sumar_odbory"/>
      <sheetName val="T6-výkon"/>
      <sheetName val="T7-mzdy"/>
      <sheetName val="T8-TaS"/>
      <sheetName val="T9-šport-kultúra"/>
      <sheetName val="T10-prev_ŠD"/>
      <sheetName val="T11-sumár_ŠD"/>
      <sheetName val="T12-špecifiká"/>
      <sheetName val="T13-sumár-špec"/>
      <sheetName val="T14-VVZ-mzdy-TaS"/>
      <sheetName val="T15-soc-stipendia"/>
      <sheetName val="T16-KKŠ"/>
      <sheetName val="T17-Klinické"/>
      <sheetName val="T18-stavby"/>
    </sheetNames>
    <sheetDataSet>
      <sheetData sheetId="2">
        <row r="52">
          <cell r="C52">
            <v>2</v>
          </cell>
        </row>
        <row r="53">
          <cell r="C53">
            <v>1.66</v>
          </cell>
        </row>
        <row r="54">
          <cell r="C54">
            <v>1.33</v>
          </cell>
        </row>
        <row r="55">
          <cell r="C5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243"/>
  <sheetViews>
    <sheetView zoomScaleSheetLayoutView="75" zoomScalePageLayoutView="0" workbookViewId="0" topLeftCell="A1">
      <pane xSplit="1" ySplit="6" topLeftCell="H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R46" sqref="R46"/>
    </sheetView>
  </sheetViews>
  <sheetFormatPr defaultColWidth="9.140625" defaultRowHeight="12.75"/>
  <cols>
    <col min="1" max="1" width="42.28125" style="0" customWidth="1"/>
    <col min="2" max="2" width="15.57421875" style="0" customWidth="1"/>
    <col min="3" max="3" width="16.140625" style="154" bestFit="1" customWidth="1"/>
    <col min="4" max="5" width="14.57421875" style="154" bestFit="1" customWidth="1"/>
    <col min="6" max="6" width="15.140625" style="154" customWidth="1"/>
    <col min="7" max="7" width="13.140625" style="154" bestFit="1" customWidth="1"/>
    <col min="8" max="8" width="14.140625" style="154" bestFit="1" customWidth="1"/>
    <col min="9" max="9" width="11.57421875" style="154" customWidth="1"/>
    <col min="10" max="11" width="13.140625" style="154" bestFit="1" customWidth="1"/>
    <col min="12" max="12" width="14.140625" style="154" bestFit="1" customWidth="1"/>
    <col min="13" max="14" width="13.140625" style="154" customWidth="1"/>
    <col min="15" max="15" width="14.421875" style="154" bestFit="1" customWidth="1"/>
    <col min="16" max="16" width="13.421875" style="154" customWidth="1"/>
    <col min="17" max="17" width="15.00390625" style="154" customWidth="1"/>
    <col min="18" max="18" width="19.28125" style="154" customWidth="1"/>
    <col min="19" max="19" width="13.57421875" style="154" bestFit="1" customWidth="1"/>
    <col min="20" max="20" width="21.140625" style="0" customWidth="1"/>
    <col min="21" max="21" width="10.140625" style="0" customWidth="1"/>
    <col min="22" max="22" width="9.7109375" style="0" bestFit="1" customWidth="1"/>
  </cols>
  <sheetData>
    <row r="1" spans="1:18" ht="12.75">
      <c r="A1" s="523"/>
      <c r="B1" s="1"/>
      <c r="C1" s="158"/>
      <c r="D1" s="158"/>
      <c r="E1" s="159"/>
      <c r="F1" s="159"/>
      <c r="G1" s="159"/>
      <c r="H1" s="159"/>
      <c r="I1" s="159"/>
      <c r="J1" s="159"/>
      <c r="K1" s="158"/>
      <c r="L1" s="158"/>
      <c r="M1" s="160"/>
      <c r="N1" s="160"/>
      <c r="O1" s="158"/>
      <c r="P1" s="158"/>
      <c r="Q1" s="158"/>
      <c r="R1" s="158"/>
    </row>
    <row r="2" spans="1:20" ht="26.25" thickBot="1">
      <c r="A2" s="1077" t="s">
        <v>271</v>
      </c>
      <c r="B2" s="4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>
        <f>3895061-O4</f>
        <v>140661</v>
      </c>
      <c r="P2" s="155">
        <f>1595360-P4</f>
        <v>123619.66999999993</v>
      </c>
      <c r="Q2" s="155">
        <f>1453700-Q4</f>
        <v>316493.3300000001</v>
      </c>
      <c r="R2" s="155"/>
      <c r="S2" s="155"/>
      <c r="T2" s="46"/>
    </row>
    <row r="3" spans="1:20" ht="44.25" customHeight="1" thickBot="1">
      <c r="A3" s="55"/>
      <c r="B3" s="126"/>
      <c r="C3" s="144" t="s">
        <v>1</v>
      </c>
      <c r="D3" s="144" t="s">
        <v>2</v>
      </c>
      <c r="E3" s="144" t="s">
        <v>3</v>
      </c>
      <c r="F3" s="144" t="s">
        <v>4</v>
      </c>
      <c r="G3" s="144" t="s">
        <v>75</v>
      </c>
      <c r="H3" s="144" t="s">
        <v>6</v>
      </c>
      <c r="I3" s="804" t="s">
        <v>191</v>
      </c>
      <c r="J3" s="144" t="s">
        <v>7</v>
      </c>
      <c r="K3" s="824" t="s">
        <v>17</v>
      </c>
      <c r="L3" s="161" t="s">
        <v>46</v>
      </c>
      <c r="M3" s="144" t="s">
        <v>9</v>
      </c>
      <c r="N3" s="804" t="s">
        <v>190</v>
      </c>
      <c r="O3" s="144" t="s">
        <v>88</v>
      </c>
      <c r="P3" s="866" t="s">
        <v>89</v>
      </c>
      <c r="Q3" s="1036" t="s">
        <v>90</v>
      </c>
      <c r="R3" s="162" t="s">
        <v>175</v>
      </c>
      <c r="S3" s="824" t="s">
        <v>19</v>
      </c>
      <c r="T3" s="54"/>
    </row>
    <row r="4" spans="1:21" ht="23.25" customHeight="1" thickBot="1">
      <c r="A4" s="44" t="s">
        <v>86</v>
      </c>
      <c r="B4" s="127"/>
      <c r="C4" s="115">
        <v>11917324</v>
      </c>
      <c r="D4" s="115">
        <v>4669428</v>
      </c>
      <c r="E4" s="115">
        <v>12297574</v>
      </c>
      <c r="F4" s="115">
        <v>12054413</v>
      </c>
      <c r="G4" s="115">
        <v>4211044</v>
      </c>
      <c r="H4" s="115">
        <v>8691430</v>
      </c>
      <c r="I4" s="805">
        <v>0</v>
      </c>
      <c r="J4" s="115">
        <v>4111886</v>
      </c>
      <c r="K4" s="825">
        <v>2976577</v>
      </c>
      <c r="L4" s="115">
        <v>44887</v>
      </c>
      <c r="M4" s="115">
        <v>1006337</v>
      </c>
      <c r="N4" s="805">
        <v>243619</v>
      </c>
      <c r="O4" s="115">
        <f>3754400</f>
        <v>3754400</v>
      </c>
      <c r="P4" s="825">
        <f>1494213-17600-0.67-4872</f>
        <v>1471740.33</v>
      </c>
      <c r="Q4" s="805">
        <v>1137206.67</v>
      </c>
      <c r="R4" s="115">
        <v>140661</v>
      </c>
      <c r="S4" s="1065">
        <f>SUM(C4:R4)</f>
        <v>68728527</v>
      </c>
      <c r="T4" s="57"/>
      <c r="U4" s="491"/>
    </row>
    <row r="5" spans="1:20" ht="21.75" customHeight="1" thickBot="1">
      <c r="A5" s="58" t="s">
        <v>27</v>
      </c>
      <c r="B5" s="128"/>
      <c r="C5" s="59">
        <f aca="true" t="shared" si="0" ref="C5:Q5">C4+C193</f>
        <v>12717591</v>
      </c>
      <c r="D5" s="59">
        <f t="shared" si="0"/>
        <v>5010470</v>
      </c>
      <c r="E5" s="59">
        <f t="shared" si="0"/>
        <v>14664861</v>
      </c>
      <c r="F5" s="59">
        <f t="shared" si="0"/>
        <v>12995998</v>
      </c>
      <c r="G5" s="59">
        <f t="shared" si="0"/>
        <v>4366758</v>
      </c>
      <c r="H5" s="59">
        <f t="shared" si="0"/>
        <v>10015215</v>
      </c>
      <c r="I5" s="806">
        <f t="shared" si="0"/>
        <v>0</v>
      </c>
      <c r="J5" s="59">
        <f t="shared" si="0"/>
        <v>4072958</v>
      </c>
      <c r="K5" s="192">
        <f t="shared" si="0"/>
        <v>2976577</v>
      </c>
      <c r="L5" s="59">
        <f t="shared" si="0"/>
        <v>44887</v>
      </c>
      <c r="M5" s="59">
        <f t="shared" si="0"/>
        <v>1041591.84</v>
      </c>
      <c r="N5" s="806">
        <f t="shared" si="0"/>
        <v>95251.51000000001</v>
      </c>
      <c r="O5" s="59">
        <f t="shared" si="0"/>
        <v>3827060.39</v>
      </c>
      <c r="P5" s="192">
        <f t="shared" si="0"/>
        <v>1455182.34</v>
      </c>
      <c r="Q5" s="192">
        <f t="shared" si="0"/>
        <v>957726.6399999999</v>
      </c>
      <c r="R5" s="192">
        <f>R4+R193</f>
        <v>0</v>
      </c>
      <c r="S5" s="192">
        <f>SUM(C5:R5)</f>
        <v>74242127.72000001</v>
      </c>
      <c r="T5" s="57"/>
    </row>
    <row r="6" spans="1:20" ht="20.25" customHeight="1" thickBot="1">
      <c r="A6" s="122" t="s">
        <v>44</v>
      </c>
      <c r="B6" s="199" t="s">
        <v>20</v>
      </c>
      <c r="C6" s="200"/>
      <c r="D6" s="200"/>
      <c r="E6" s="200"/>
      <c r="F6" s="200"/>
      <c r="G6" s="200"/>
      <c r="H6" s="41"/>
      <c r="I6" s="188"/>
      <c r="J6" s="41"/>
      <c r="K6" s="189"/>
      <c r="L6" s="41"/>
      <c r="M6" s="41"/>
      <c r="N6" s="188"/>
      <c r="O6" s="41"/>
      <c r="P6" s="189"/>
      <c r="Q6" s="188"/>
      <c r="R6" s="41"/>
      <c r="S6" s="189"/>
      <c r="T6" s="57"/>
    </row>
    <row r="7" spans="1:23" ht="12.75">
      <c r="A7" s="538" t="s">
        <v>47</v>
      </c>
      <c r="B7" s="205" t="s">
        <v>54</v>
      </c>
      <c r="C7" s="251">
        <f>22620+22620-8670+300+10280-8270+6910+5840+18480+6000-6330-2480+200+4750</f>
        <v>72250</v>
      </c>
      <c r="D7" s="251">
        <f>5100+5100+2610+1800+1600+4200+990+1920+200+1500</f>
        <v>25020</v>
      </c>
      <c r="E7" s="251">
        <f>53860+52700-26080+600+22500-22920+16235+13600+44520+2150+15120-12880-5360+12750</f>
        <v>166795</v>
      </c>
      <c r="F7" s="251">
        <f>18750+18850-7800+700+6160+560-6660+3395+2640+10080+3120+200-3920-960+200+2500</f>
        <v>47815</v>
      </c>
      <c r="G7" s="251">
        <f>10800+9260-1440+1120+3460-1080+1765+1920+4200+990+1920+1500</f>
        <v>34415</v>
      </c>
      <c r="H7" s="251">
        <f>315+80+840+240+250</f>
        <v>1725</v>
      </c>
      <c r="I7" s="261"/>
      <c r="J7" s="251">
        <f>17040+16180-960+300+6720-340+3810+3520+10080+3120-1400-480+3000</f>
        <v>60590</v>
      </c>
      <c r="K7" s="266"/>
      <c r="L7" s="251"/>
      <c r="M7" s="38">
        <f>240+840+2520+720-360+500</f>
        <v>4460</v>
      </c>
      <c r="N7" s="260"/>
      <c r="O7" s="38"/>
      <c r="P7" s="867"/>
      <c r="Q7" s="188"/>
      <c r="R7" s="41"/>
      <c r="S7" s="1066">
        <f>SUM(C7:R7)</f>
        <v>413070</v>
      </c>
      <c r="T7" s="57">
        <v>385920</v>
      </c>
      <c r="U7" s="491">
        <f>S7-T7</f>
        <v>27150</v>
      </c>
      <c r="V7">
        <f>26750+400</f>
        <v>27150</v>
      </c>
      <c r="W7" s="491">
        <f>U7-V7</f>
        <v>0</v>
      </c>
    </row>
    <row r="8" spans="1:21" ht="12.75">
      <c r="A8" s="538" t="s">
        <v>59</v>
      </c>
      <c r="B8" s="205" t="s">
        <v>55</v>
      </c>
      <c r="C8" s="251">
        <f>610-280+990-330</f>
        <v>990</v>
      </c>
      <c r="D8" s="251">
        <f>840+840+280+840-280</f>
        <v>2520</v>
      </c>
      <c r="E8" s="251">
        <f>2220+560+1680-560-1901.1</f>
        <v>1998.9</v>
      </c>
      <c r="F8" s="251">
        <f>840+840+560+560+1680-280</f>
        <v>4200</v>
      </c>
      <c r="G8" s="251">
        <f>840+840+280+840</f>
        <v>2800</v>
      </c>
      <c r="H8" s="251">
        <v>470.4</v>
      </c>
      <c r="I8" s="261"/>
      <c r="J8" s="251">
        <f>2500+3330-1660-2490+280+840-280</f>
        <v>2520</v>
      </c>
      <c r="K8" s="266"/>
      <c r="L8" s="251"/>
      <c r="M8" s="38"/>
      <c r="N8" s="260"/>
      <c r="O8" s="38"/>
      <c r="P8" s="39"/>
      <c r="Q8" s="188"/>
      <c r="R8" s="41"/>
      <c r="S8" s="1066">
        <f>SUM(C8:R8)</f>
        <v>15499.3</v>
      </c>
      <c r="T8" s="57">
        <v>17400.4</v>
      </c>
      <c r="U8" s="491">
        <f>S8-T8</f>
        <v>-1901.1000000000022</v>
      </c>
    </row>
    <row r="9" spans="1:21" ht="12.75">
      <c r="A9" s="538" t="s">
        <v>45</v>
      </c>
      <c r="B9" s="205" t="s">
        <v>48</v>
      </c>
      <c r="C9" s="38">
        <f>527476+63796+32509</f>
        <v>623781</v>
      </c>
      <c r="D9" s="38">
        <f>676024+97486+2500+2000+83839</f>
        <v>861849</v>
      </c>
      <c r="E9" s="38">
        <f>482277+150674+264202+25022+182983+40436-778.57-114.56</f>
        <v>1144700.8699999999</v>
      </c>
      <c r="F9" s="251">
        <f>1047478+394482+174133+2350+255800-903.32+5000-124.84-3758.69</f>
        <v>1874456.15</v>
      </c>
      <c r="G9" s="38">
        <f>2000</f>
        <v>2000</v>
      </c>
      <c r="H9" s="251">
        <f>253559+62574+183650+2500+90737</f>
        <v>593020</v>
      </c>
      <c r="I9" s="261"/>
      <c r="J9" s="38">
        <v>5000</v>
      </c>
      <c r="K9" s="39"/>
      <c r="L9" s="38"/>
      <c r="M9" s="38"/>
      <c r="N9" s="260"/>
      <c r="O9" s="38"/>
      <c r="P9" s="39"/>
      <c r="Q9" s="188"/>
      <c r="R9" s="41"/>
      <c r="S9" s="1066">
        <f aca="true" t="shared" si="1" ref="S9:S78">SUM(C9:R9)</f>
        <v>5104807.02</v>
      </c>
      <c r="T9" s="57"/>
      <c r="U9" s="491">
        <f>SUM(U7:U8)</f>
        <v>25248.899999999998</v>
      </c>
    </row>
    <row r="10" spans="1:20" ht="12.75">
      <c r="A10" s="539" t="s">
        <v>49</v>
      </c>
      <c r="B10" s="205" t="s">
        <v>56</v>
      </c>
      <c r="C10" s="38"/>
      <c r="D10" s="38">
        <f>246150</f>
        <v>246150</v>
      </c>
      <c r="E10" s="38">
        <f>346674.5+24261+79875+50968.75</f>
        <v>501779.25</v>
      </c>
      <c r="F10" s="251"/>
      <c r="G10" s="38"/>
      <c r="H10" s="251"/>
      <c r="I10" s="261"/>
      <c r="J10" s="38"/>
      <c r="K10" s="39"/>
      <c r="L10" s="38"/>
      <c r="M10" s="38"/>
      <c r="N10" s="260"/>
      <c r="O10" s="38"/>
      <c r="P10" s="39"/>
      <c r="Q10" s="1037"/>
      <c r="R10" s="208"/>
      <c r="S10" s="1066">
        <f t="shared" si="1"/>
        <v>747929.25</v>
      </c>
      <c r="T10" s="57"/>
    </row>
    <row r="11" spans="1:20" ht="25.5">
      <c r="A11" s="540" t="s">
        <v>78</v>
      </c>
      <c r="B11" s="38" t="s">
        <v>77</v>
      </c>
      <c r="C11" s="38"/>
      <c r="D11" s="38"/>
      <c r="E11" s="38"/>
      <c r="F11" s="251"/>
      <c r="G11" s="38"/>
      <c r="H11" s="251">
        <v>-983</v>
      </c>
      <c r="I11" s="261"/>
      <c r="J11" s="38"/>
      <c r="K11" s="39"/>
      <c r="L11" s="38"/>
      <c r="M11" s="38"/>
      <c r="N11" s="260"/>
      <c r="O11" s="38"/>
      <c r="P11" s="39"/>
      <c r="Q11" s="260"/>
      <c r="R11" s="41"/>
      <c r="S11" s="1066">
        <f t="shared" si="1"/>
        <v>-983</v>
      </c>
      <c r="T11" s="61"/>
    </row>
    <row r="12" spans="1:22" ht="25.5">
      <c r="A12" s="540" t="s">
        <v>79</v>
      </c>
      <c r="B12" s="38" t="s">
        <v>77</v>
      </c>
      <c r="C12" s="116">
        <v>0</v>
      </c>
      <c r="D12" s="38"/>
      <c r="E12" s="116"/>
      <c r="F12" s="250"/>
      <c r="G12" s="116">
        <v>-5242</v>
      </c>
      <c r="H12" s="250">
        <v>-8246</v>
      </c>
      <c r="I12" s="807"/>
      <c r="J12" s="116"/>
      <c r="K12" s="826"/>
      <c r="L12" s="116"/>
      <c r="M12" s="116"/>
      <c r="N12" s="850"/>
      <c r="O12" s="38"/>
      <c r="P12" s="39"/>
      <c r="Q12" s="260"/>
      <c r="R12" s="41"/>
      <c r="S12" s="1066">
        <f t="shared" si="1"/>
        <v>-13488</v>
      </c>
      <c r="T12" s="61"/>
      <c r="U12" s="491"/>
      <c r="V12" s="491"/>
    </row>
    <row r="13" spans="1:20" ht="12.75">
      <c r="A13" s="540" t="s">
        <v>81</v>
      </c>
      <c r="B13" s="205" t="s">
        <v>84</v>
      </c>
      <c r="C13" s="38">
        <v>501776</v>
      </c>
      <c r="D13" s="38">
        <v>79142</v>
      </c>
      <c r="E13" s="38">
        <v>415098</v>
      </c>
      <c r="F13" s="251">
        <v>594101</v>
      </c>
      <c r="G13" s="38">
        <v>13611</v>
      </c>
      <c r="H13" s="251">
        <v>210775</v>
      </c>
      <c r="I13" s="261"/>
      <c r="J13" s="38">
        <v>13027</v>
      </c>
      <c r="K13" s="39"/>
      <c r="L13" s="38"/>
      <c r="M13" s="38">
        <v>6814</v>
      </c>
      <c r="N13" s="260"/>
      <c r="O13" s="38"/>
      <c r="P13" s="868"/>
      <c r="Q13" s="1038"/>
      <c r="R13" s="673"/>
      <c r="S13" s="1066">
        <f t="shared" si="1"/>
        <v>1834344</v>
      </c>
      <c r="T13" s="62"/>
    </row>
    <row r="14" spans="1:20" s="5" customFormat="1" ht="12.75">
      <c r="A14" s="540" t="s">
        <v>82</v>
      </c>
      <c r="B14" s="205" t="s">
        <v>83</v>
      </c>
      <c r="C14" s="116">
        <v>41518</v>
      </c>
      <c r="D14" s="116">
        <v>204323</v>
      </c>
      <c r="E14" s="116">
        <v>107454</v>
      </c>
      <c r="F14" s="250">
        <v>25491</v>
      </c>
      <c r="G14" s="116">
        <v>30145</v>
      </c>
      <c r="H14" s="250">
        <v>99680</v>
      </c>
      <c r="I14" s="807"/>
      <c r="J14" s="116">
        <v>4695</v>
      </c>
      <c r="K14" s="826"/>
      <c r="L14" s="116"/>
      <c r="M14" s="116"/>
      <c r="N14" s="850"/>
      <c r="O14" s="116"/>
      <c r="P14" s="826"/>
      <c r="Q14" s="850"/>
      <c r="R14" s="210"/>
      <c r="S14" s="1066">
        <f t="shared" si="1"/>
        <v>513306</v>
      </c>
      <c r="T14" s="171"/>
    </row>
    <row r="15" spans="1:20" s="5" customFormat="1" ht="12.75">
      <c r="A15" s="540" t="s">
        <v>177</v>
      </c>
      <c r="B15" s="205" t="s">
        <v>84</v>
      </c>
      <c r="C15" s="250">
        <f>6340+3600</f>
        <v>9940</v>
      </c>
      <c r="D15" s="250"/>
      <c r="E15" s="250"/>
      <c r="F15" s="250"/>
      <c r="G15" s="250"/>
      <c r="H15" s="250"/>
      <c r="I15" s="807"/>
      <c r="J15" s="250">
        <v>5000</v>
      </c>
      <c r="K15" s="827"/>
      <c r="L15" s="250"/>
      <c r="M15" s="250"/>
      <c r="N15" s="850"/>
      <c r="O15" s="116"/>
      <c r="P15" s="826"/>
      <c r="Q15" s="850"/>
      <c r="R15" s="210"/>
      <c r="S15" s="1066">
        <f t="shared" si="1"/>
        <v>14940</v>
      </c>
      <c r="T15" s="171">
        <f>S15+S42</f>
        <v>22540</v>
      </c>
    </row>
    <row r="16" spans="1:20" s="5" customFormat="1" ht="12.75" hidden="1">
      <c r="A16" s="248"/>
      <c r="B16" s="249"/>
      <c r="C16" s="250"/>
      <c r="D16" s="250"/>
      <c r="E16" s="250"/>
      <c r="F16" s="250"/>
      <c r="G16" s="250"/>
      <c r="H16" s="250"/>
      <c r="I16" s="807"/>
      <c r="J16" s="250"/>
      <c r="K16" s="827"/>
      <c r="L16" s="250"/>
      <c r="M16" s="250"/>
      <c r="N16" s="850"/>
      <c r="O16" s="116"/>
      <c r="P16" s="826"/>
      <c r="Q16" s="850"/>
      <c r="R16" s="210"/>
      <c r="S16" s="1066">
        <f t="shared" si="1"/>
        <v>0</v>
      </c>
      <c r="T16" s="171"/>
    </row>
    <row r="17" spans="1:20" s="5" customFormat="1" ht="12.75" hidden="1">
      <c r="A17" s="248"/>
      <c r="B17" s="249"/>
      <c r="C17" s="250"/>
      <c r="D17" s="250"/>
      <c r="E17" s="250"/>
      <c r="F17" s="250"/>
      <c r="G17" s="250"/>
      <c r="H17" s="250"/>
      <c r="I17" s="807"/>
      <c r="J17" s="250"/>
      <c r="K17" s="827"/>
      <c r="L17" s="250"/>
      <c r="M17" s="250"/>
      <c r="N17" s="850"/>
      <c r="O17" s="116"/>
      <c r="P17" s="826"/>
      <c r="Q17" s="850"/>
      <c r="R17" s="210"/>
      <c r="S17" s="1066">
        <f t="shared" si="1"/>
        <v>0</v>
      </c>
      <c r="T17" s="171"/>
    </row>
    <row r="18" spans="1:20" s="5" customFormat="1" ht="12.75" hidden="1">
      <c r="A18" s="42"/>
      <c r="B18" s="205"/>
      <c r="C18" s="116"/>
      <c r="D18" s="116"/>
      <c r="E18" s="116"/>
      <c r="F18" s="250"/>
      <c r="G18" s="116"/>
      <c r="H18" s="250"/>
      <c r="I18" s="807"/>
      <c r="J18" s="116"/>
      <c r="K18" s="826"/>
      <c r="L18" s="116"/>
      <c r="M18" s="116"/>
      <c r="N18" s="850"/>
      <c r="O18" s="116"/>
      <c r="P18" s="826"/>
      <c r="Q18" s="850"/>
      <c r="R18" s="210"/>
      <c r="S18" s="1066">
        <f t="shared" si="1"/>
        <v>0</v>
      </c>
      <c r="T18" s="172"/>
    </row>
    <row r="19" spans="1:20" s="5" customFormat="1" ht="12.75" hidden="1">
      <c r="A19" s="42"/>
      <c r="B19" s="205"/>
      <c r="C19" s="116"/>
      <c r="D19" s="116"/>
      <c r="E19" s="116"/>
      <c r="F19" s="250"/>
      <c r="G19" s="116"/>
      <c r="H19" s="250"/>
      <c r="I19" s="807"/>
      <c r="J19" s="116"/>
      <c r="K19" s="826"/>
      <c r="L19" s="116"/>
      <c r="M19" s="116"/>
      <c r="N19" s="850"/>
      <c r="O19" s="116"/>
      <c r="P19" s="826"/>
      <c r="Q19" s="1039"/>
      <c r="R19" s="210"/>
      <c r="S19" s="1066">
        <f t="shared" si="1"/>
        <v>0</v>
      </c>
      <c r="T19" s="172"/>
    </row>
    <row r="20" spans="1:20" s="5" customFormat="1" ht="12.75" hidden="1">
      <c r="A20" s="42"/>
      <c r="B20" s="205"/>
      <c r="C20" s="116"/>
      <c r="D20" s="116"/>
      <c r="E20" s="116"/>
      <c r="F20" s="250"/>
      <c r="G20" s="116"/>
      <c r="H20" s="250"/>
      <c r="I20" s="807"/>
      <c r="J20" s="116"/>
      <c r="K20" s="826"/>
      <c r="L20" s="116"/>
      <c r="M20" s="116"/>
      <c r="N20" s="850"/>
      <c r="O20" s="116"/>
      <c r="P20" s="826"/>
      <c r="Q20" s="1039"/>
      <c r="R20" s="210"/>
      <c r="S20" s="1066">
        <f t="shared" si="1"/>
        <v>0</v>
      </c>
      <c r="T20" s="172"/>
    </row>
    <row r="21" spans="1:20" ht="12.75" hidden="1">
      <c r="A21" s="42"/>
      <c r="B21" s="205"/>
      <c r="C21" s="38"/>
      <c r="D21" s="38"/>
      <c r="E21" s="38"/>
      <c r="F21" s="251"/>
      <c r="G21" s="38"/>
      <c r="H21" s="251"/>
      <c r="I21" s="261"/>
      <c r="J21" s="38"/>
      <c r="K21" s="39"/>
      <c r="L21" s="38"/>
      <c r="M21" s="38"/>
      <c r="N21" s="260"/>
      <c r="O21" s="38"/>
      <c r="P21" s="39"/>
      <c r="Q21" s="188"/>
      <c r="R21" s="41"/>
      <c r="S21" s="1066">
        <f t="shared" si="1"/>
        <v>0</v>
      </c>
      <c r="T21" s="57"/>
    </row>
    <row r="22" spans="1:20" ht="12.75" hidden="1">
      <c r="A22" s="42"/>
      <c r="B22" s="205"/>
      <c r="C22" s="38"/>
      <c r="D22" s="38"/>
      <c r="E22" s="38"/>
      <c r="F22" s="251"/>
      <c r="G22" s="38"/>
      <c r="H22" s="251"/>
      <c r="I22" s="261"/>
      <c r="J22" s="38"/>
      <c r="K22" s="39"/>
      <c r="L22" s="38"/>
      <c r="M22" s="38"/>
      <c r="N22" s="260"/>
      <c r="O22" s="38"/>
      <c r="P22" s="39"/>
      <c r="Q22" s="188"/>
      <c r="R22" s="41"/>
      <c r="S22" s="1066">
        <f t="shared" si="1"/>
        <v>0</v>
      </c>
      <c r="T22" s="57"/>
    </row>
    <row r="23" spans="1:20" s="99" customFormat="1" ht="12.75" hidden="1">
      <c r="A23" s="42"/>
      <c r="B23" s="151"/>
      <c r="C23" s="116"/>
      <c r="D23" s="116"/>
      <c r="E23" s="116"/>
      <c r="F23" s="250"/>
      <c r="G23" s="116"/>
      <c r="H23" s="250"/>
      <c r="I23" s="807"/>
      <c r="J23" s="116"/>
      <c r="K23" s="826"/>
      <c r="L23" s="116"/>
      <c r="M23" s="116"/>
      <c r="N23" s="850"/>
      <c r="O23" s="116"/>
      <c r="P23" s="826"/>
      <c r="Q23" s="1040"/>
      <c r="R23" s="258"/>
      <c r="S23" s="1066">
        <f t="shared" si="1"/>
        <v>0</v>
      </c>
      <c r="T23" s="274"/>
    </row>
    <row r="24" spans="1:20" s="5" customFormat="1" ht="12.75" hidden="1">
      <c r="A24" s="125"/>
      <c r="B24" s="175"/>
      <c r="C24" s="12"/>
      <c r="D24" s="12"/>
      <c r="E24" s="12"/>
      <c r="F24" s="766"/>
      <c r="G24" s="12"/>
      <c r="H24" s="766"/>
      <c r="I24" s="808"/>
      <c r="J24" s="12"/>
      <c r="K24" s="40"/>
      <c r="L24" s="12"/>
      <c r="M24" s="12"/>
      <c r="N24" s="141"/>
      <c r="O24" s="12"/>
      <c r="P24" s="40"/>
      <c r="Q24" s="1041"/>
      <c r="R24" s="674"/>
      <c r="S24" s="1066">
        <f t="shared" si="1"/>
        <v>0</v>
      </c>
      <c r="T24" s="63"/>
    </row>
    <row r="25" spans="1:20" s="6" customFormat="1" ht="12.75" hidden="1">
      <c r="A25" s="125"/>
      <c r="B25" s="174"/>
      <c r="C25" s="38"/>
      <c r="D25" s="38"/>
      <c r="E25" s="38"/>
      <c r="F25" s="251"/>
      <c r="G25" s="38"/>
      <c r="H25" s="251"/>
      <c r="I25" s="261"/>
      <c r="J25" s="38"/>
      <c r="K25" s="828"/>
      <c r="L25" s="216"/>
      <c r="M25" s="38"/>
      <c r="N25" s="260"/>
      <c r="O25" s="38"/>
      <c r="P25" s="39"/>
      <c r="Q25" s="1042"/>
      <c r="R25" s="259"/>
      <c r="S25" s="1066">
        <f t="shared" si="1"/>
        <v>0</v>
      </c>
      <c r="T25" s="63"/>
    </row>
    <row r="26" spans="1:20" s="6" customFormat="1" ht="13.5" hidden="1" thickBot="1">
      <c r="A26" s="125"/>
      <c r="B26" s="177"/>
      <c r="C26" s="78"/>
      <c r="D26" s="78"/>
      <c r="E26" s="78"/>
      <c r="F26" s="767"/>
      <c r="G26" s="78"/>
      <c r="H26" s="767"/>
      <c r="I26" s="809"/>
      <c r="J26" s="66"/>
      <c r="K26" s="67"/>
      <c r="L26" s="66"/>
      <c r="M26" s="66"/>
      <c r="N26" s="110"/>
      <c r="O26" s="66"/>
      <c r="P26" s="67"/>
      <c r="Q26" s="1043"/>
      <c r="R26" s="675"/>
      <c r="S26" s="1066">
        <f t="shared" si="1"/>
        <v>0</v>
      </c>
      <c r="T26" s="63"/>
    </row>
    <row r="27" spans="1:20" s="6" customFormat="1" ht="12.75" hidden="1">
      <c r="A27" s="42"/>
      <c r="B27" s="38"/>
      <c r="C27" s="38"/>
      <c r="D27" s="38"/>
      <c r="E27" s="38"/>
      <c r="F27" s="251"/>
      <c r="G27" s="38"/>
      <c r="H27" s="251"/>
      <c r="I27" s="261"/>
      <c r="J27" s="38"/>
      <c r="K27" s="39"/>
      <c r="L27" s="38"/>
      <c r="M27" s="38"/>
      <c r="N27" s="260"/>
      <c r="O27" s="38"/>
      <c r="P27" s="869"/>
      <c r="Q27" s="1044"/>
      <c r="R27" s="253"/>
      <c r="S27" s="1066">
        <f t="shared" si="1"/>
        <v>0</v>
      </c>
      <c r="T27" s="63"/>
    </row>
    <row r="28" spans="1:20" s="6" customFormat="1" ht="12.75" hidden="1">
      <c r="A28" s="42"/>
      <c r="B28" s="38"/>
      <c r="C28" s="116"/>
      <c r="D28" s="38"/>
      <c r="E28" s="116"/>
      <c r="F28" s="250"/>
      <c r="G28" s="116"/>
      <c r="H28" s="250"/>
      <c r="I28" s="807"/>
      <c r="J28" s="116"/>
      <c r="K28" s="826"/>
      <c r="L28" s="116"/>
      <c r="M28" s="116"/>
      <c r="N28" s="850"/>
      <c r="O28" s="116"/>
      <c r="P28" s="870"/>
      <c r="Q28" s="1045"/>
      <c r="R28" s="254"/>
      <c r="S28" s="1066">
        <f t="shared" si="1"/>
        <v>0</v>
      </c>
      <c r="T28" s="63"/>
    </row>
    <row r="29" spans="1:20" s="5" customFormat="1" ht="12.75" hidden="1">
      <c r="A29" s="42"/>
      <c r="B29" s="205"/>
      <c r="C29" s="116"/>
      <c r="D29" s="116"/>
      <c r="E29" s="116"/>
      <c r="F29" s="250"/>
      <c r="G29" s="116"/>
      <c r="H29" s="250"/>
      <c r="I29" s="807"/>
      <c r="J29" s="116"/>
      <c r="K29" s="826"/>
      <c r="L29" s="116"/>
      <c r="M29" s="116"/>
      <c r="N29" s="850"/>
      <c r="O29" s="116"/>
      <c r="P29" s="826"/>
      <c r="Q29" s="1046"/>
      <c r="R29" s="257"/>
      <c r="S29" s="1066">
        <f t="shared" si="1"/>
        <v>0</v>
      </c>
      <c r="T29" s="63"/>
    </row>
    <row r="30" spans="1:20" s="4" customFormat="1" ht="12.75" hidden="1">
      <c r="A30" s="42"/>
      <c r="B30" s="151"/>
      <c r="C30" s="38"/>
      <c r="D30" s="38"/>
      <c r="E30" s="38"/>
      <c r="F30" s="251"/>
      <c r="G30" s="38"/>
      <c r="H30" s="251"/>
      <c r="I30" s="261"/>
      <c r="J30" s="38"/>
      <c r="K30" s="39"/>
      <c r="L30" s="38"/>
      <c r="M30" s="38"/>
      <c r="N30" s="260"/>
      <c r="O30" s="38"/>
      <c r="P30" s="39"/>
      <c r="Q30" s="1047"/>
      <c r="R30" s="259"/>
      <c r="S30" s="1066">
        <f t="shared" si="1"/>
        <v>0</v>
      </c>
      <c r="T30" s="64"/>
    </row>
    <row r="31" spans="1:20" s="4" customFormat="1" ht="12.75" hidden="1">
      <c r="A31" s="42"/>
      <c r="B31" s="151"/>
      <c r="C31" s="38"/>
      <c r="D31" s="38"/>
      <c r="E31" s="38"/>
      <c r="F31" s="251"/>
      <c r="G31" s="38"/>
      <c r="H31" s="251"/>
      <c r="I31" s="261"/>
      <c r="J31" s="38"/>
      <c r="K31" s="39"/>
      <c r="L31" s="38"/>
      <c r="M31" s="38"/>
      <c r="N31" s="260"/>
      <c r="O31" s="38"/>
      <c r="P31" s="39"/>
      <c r="Q31" s="1047"/>
      <c r="R31" s="259"/>
      <c r="S31" s="1066">
        <f t="shared" si="1"/>
        <v>0</v>
      </c>
      <c r="T31" s="64"/>
    </row>
    <row r="32" spans="1:20" ht="12.75" hidden="1">
      <c r="A32" s="53"/>
      <c r="B32" s="255"/>
      <c r="C32" s="117"/>
      <c r="D32" s="117"/>
      <c r="E32" s="117"/>
      <c r="F32" s="768"/>
      <c r="G32" s="117"/>
      <c r="H32" s="768"/>
      <c r="I32" s="810"/>
      <c r="J32" s="117"/>
      <c r="K32" s="267"/>
      <c r="L32" s="117"/>
      <c r="M32" s="117"/>
      <c r="N32" s="851"/>
      <c r="O32" s="117"/>
      <c r="P32" s="868"/>
      <c r="Q32" s="1048"/>
      <c r="R32" s="256"/>
      <c r="S32" s="1066">
        <f t="shared" si="1"/>
        <v>0</v>
      </c>
      <c r="T32" s="57"/>
    </row>
    <row r="33" spans="1:20" ht="12.75" hidden="1">
      <c r="A33" s="53"/>
      <c r="B33" s="255"/>
      <c r="C33" s="117"/>
      <c r="D33" s="117"/>
      <c r="E33" s="117"/>
      <c r="F33" s="768"/>
      <c r="G33" s="117"/>
      <c r="H33" s="768"/>
      <c r="I33" s="810"/>
      <c r="J33" s="117"/>
      <c r="K33" s="267"/>
      <c r="L33" s="117"/>
      <c r="M33" s="117"/>
      <c r="N33" s="851"/>
      <c r="O33" s="117"/>
      <c r="P33" s="868"/>
      <c r="Q33" s="1049"/>
      <c r="R33" s="273"/>
      <c r="S33" s="1066">
        <f t="shared" si="1"/>
        <v>0</v>
      </c>
      <c r="T33" s="57"/>
    </row>
    <row r="34" spans="1:20" ht="12.75" hidden="1">
      <c r="A34" s="53"/>
      <c r="B34" s="38"/>
      <c r="C34" s="38"/>
      <c r="D34" s="38"/>
      <c r="E34" s="38"/>
      <c r="F34" s="251"/>
      <c r="G34" s="38"/>
      <c r="H34" s="251"/>
      <c r="I34" s="261"/>
      <c r="J34" s="38"/>
      <c r="K34" s="39"/>
      <c r="L34" s="38"/>
      <c r="M34" s="38"/>
      <c r="N34" s="260"/>
      <c r="O34" s="38"/>
      <c r="P34" s="869"/>
      <c r="Q34" s="1044"/>
      <c r="R34" s="253"/>
      <c r="S34" s="1066">
        <f t="shared" si="1"/>
        <v>0</v>
      </c>
      <c r="T34" s="57"/>
    </row>
    <row r="35" spans="1:20" ht="12.75" hidden="1">
      <c r="A35" s="42"/>
      <c r="B35" s="38"/>
      <c r="C35" s="116"/>
      <c r="D35" s="38"/>
      <c r="E35" s="116"/>
      <c r="F35" s="250"/>
      <c r="G35" s="116"/>
      <c r="H35" s="250"/>
      <c r="I35" s="807"/>
      <c r="J35" s="116"/>
      <c r="K35" s="826"/>
      <c r="L35" s="116"/>
      <c r="M35" s="116"/>
      <c r="N35" s="850"/>
      <c r="O35" s="116"/>
      <c r="P35" s="870"/>
      <c r="Q35" s="1045"/>
      <c r="R35" s="254"/>
      <c r="S35" s="1066">
        <f t="shared" si="1"/>
        <v>0</v>
      </c>
      <c r="T35" s="57"/>
    </row>
    <row r="36" spans="1:20" ht="12.75" hidden="1">
      <c r="A36" s="42"/>
      <c r="B36" s="205"/>
      <c r="C36" s="116"/>
      <c r="D36" s="116"/>
      <c r="E36" s="116"/>
      <c r="F36" s="250"/>
      <c r="G36" s="116"/>
      <c r="H36" s="250"/>
      <c r="I36" s="807"/>
      <c r="J36" s="116"/>
      <c r="K36" s="826"/>
      <c r="L36" s="116"/>
      <c r="M36" s="116"/>
      <c r="N36" s="850"/>
      <c r="O36" s="116"/>
      <c r="P36" s="826"/>
      <c r="Q36" s="1046"/>
      <c r="R36" s="257"/>
      <c r="S36" s="1066">
        <f t="shared" si="1"/>
        <v>0</v>
      </c>
      <c r="T36" s="57"/>
    </row>
    <row r="37" spans="1:20" ht="12.75" hidden="1">
      <c r="A37" s="42"/>
      <c r="B37" s="151"/>
      <c r="C37" s="38"/>
      <c r="D37" s="38"/>
      <c r="E37" s="38"/>
      <c r="F37" s="251"/>
      <c r="G37" s="38"/>
      <c r="H37" s="251"/>
      <c r="I37" s="261"/>
      <c r="J37" s="38"/>
      <c r="K37" s="39"/>
      <c r="L37" s="38"/>
      <c r="M37" s="38"/>
      <c r="N37" s="260"/>
      <c r="O37" s="38"/>
      <c r="P37" s="39"/>
      <c r="Q37" s="188"/>
      <c r="R37" s="41"/>
      <c r="S37" s="1066">
        <f t="shared" si="1"/>
        <v>0</v>
      </c>
      <c r="T37" s="57"/>
    </row>
    <row r="38" spans="1:20" ht="12.75" hidden="1">
      <c r="A38" s="42"/>
      <c r="B38" s="150"/>
      <c r="C38" s="38"/>
      <c r="D38" s="38"/>
      <c r="E38" s="38"/>
      <c r="F38" s="251"/>
      <c r="G38" s="38"/>
      <c r="H38" s="251"/>
      <c r="I38" s="261"/>
      <c r="J38" s="38"/>
      <c r="K38" s="39"/>
      <c r="L38" s="38"/>
      <c r="M38" s="38"/>
      <c r="N38" s="260"/>
      <c r="O38" s="38"/>
      <c r="P38" s="39"/>
      <c r="Q38" s="188"/>
      <c r="R38" s="41"/>
      <c r="S38" s="1066">
        <f t="shared" si="1"/>
        <v>0</v>
      </c>
      <c r="T38" s="57"/>
    </row>
    <row r="39" spans="1:20" ht="12.75" hidden="1">
      <c r="A39" s="42"/>
      <c r="B39" s="150"/>
      <c r="C39" s="38"/>
      <c r="D39" s="38"/>
      <c r="E39" s="38"/>
      <c r="F39" s="251"/>
      <c r="G39" s="38"/>
      <c r="H39" s="251"/>
      <c r="I39" s="261"/>
      <c r="J39" s="38"/>
      <c r="K39" s="39"/>
      <c r="L39" s="38"/>
      <c r="M39" s="38"/>
      <c r="N39" s="260"/>
      <c r="O39" s="38"/>
      <c r="P39" s="39"/>
      <c r="Q39" s="188"/>
      <c r="R39" s="41"/>
      <c r="S39" s="1066">
        <f t="shared" si="1"/>
        <v>0</v>
      </c>
      <c r="T39" s="57"/>
    </row>
    <row r="40" spans="1:20" ht="12.75" hidden="1">
      <c r="A40" s="42"/>
      <c r="B40" s="150"/>
      <c r="C40" s="38"/>
      <c r="D40" s="38"/>
      <c r="E40" s="38"/>
      <c r="F40" s="251"/>
      <c r="G40" s="38"/>
      <c r="H40" s="251"/>
      <c r="I40" s="261"/>
      <c r="J40" s="38"/>
      <c r="K40" s="39"/>
      <c r="L40" s="38"/>
      <c r="M40" s="38"/>
      <c r="N40" s="260"/>
      <c r="O40" s="38"/>
      <c r="P40" s="39"/>
      <c r="Q40" s="188"/>
      <c r="R40" s="41"/>
      <c r="S40" s="1066">
        <f t="shared" si="1"/>
        <v>0</v>
      </c>
      <c r="T40" s="57"/>
    </row>
    <row r="41" spans="1:20" ht="12.75" hidden="1">
      <c r="A41" s="42"/>
      <c r="B41" s="150"/>
      <c r="C41" s="38"/>
      <c r="D41" s="38"/>
      <c r="E41" s="38"/>
      <c r="F41" s="251"/>
      <c r="G41" s="38"/>
      <c r="H41" s="251"/>
      <c r="I41" s="261"/>
      <c r="J41" s="38"/>
      <c r="K41" s="39"/>
      <c r="L41" s="38"/>
      <c r="M41" s="38"/>
      <c r="N41" s="260"/>
      <c r="O41" s="38"/>
      <c r="P41" s="39"/>
      <c r="Q41" s="188"/>
      <c r="R41" s="41"/>
      <c r="S41" s="1066">
        <f t="shared" si="1"/>
        <v>0</v>
      </c>
      <c r="T41" s="57"/>
    </row>
    <row r="42" spans="1:20" ht="25.5">
      <c r="A42" s="540" t="s">
        <v>178</v>
      </c>
      <c r="B42" s="150" t="s">
        <v>252</v>
      </c>
      <c r="C42" s="38">
        <v>800</v>
      </c>
      <c r="D42" s="38">
        <v>600</v>
      </c>
      <c r="E42" s="38">
        <v>600</v>
      </c>
      <c r="F42" s="251">
        <v>3200</v>
      </c>
      <c r="G42" s="38">
        <v>1200</v>
      </c>
      <c r="H42" s="251">
        <v>1200</v>
      </c>
      <c r="I42" s="261"/>
      <c r="J42" s="38">
        <v>0</v>
      </c>
      <c r="K42" s="39">
        <v>0</v>
      </c>
      <c r="L42" s="38">
        <v>0</v>
      </c>
      <c r="M42" s="38">
        <v>0</v>
      </c>
      <c r="N42" s="260">
        <v>0</v>
      </c>
      <c r="O42" s="38">
        <v>0</v>
      </c>
      <c r="P42" s="39"/>
      <c r="Q42" s="188"/>
      <c r="R42" s="41"/>
      <c r="S42" s="1066">
        <f t="shared" si="1"/>
        <v>7600</v>
      </c>
      <c r="T42" s="57"/>
    </row>
    <row r="43" spans="1:20" ht="12.75">
      <c r="A43" s="36" t="s">
        <v>187</v>
      </c>
      <c r="B43" s="205" t="s">
        <v>72</v>
      </c>
      <c r="C43" s="38"/>
      <c r="D43" s="38">
        <v>12745</v>
      </c>
      <c r="E43" s="38">
        <v>82603</v>
      </c>
      <c r="F43" s="251">
        <v>16065</v>
      </c>
      <c r="G43" s="38">
        <v>7694</v>
      </c>
      <c r="H43" s="251"/>
      <c r="I43" s="261"/>
      <c r="J43" s="38"/>
      <c r="K43" s="39"/>
      <c r="L43" s="38"/>
      <c r="M43" s="38"/>
      <c r="N43" s="260"/>
      <c r="O43" s="38">
        <v>7730</v>
      </c>
      <c r="P43" s="39"/>
      <c r="Q43" s="260"/>
      <c r="R43" s="41">
        <f>126837-12745-82603-16065-7694-7730</f>
        <v>0</v>
      </c>
      <c r="S43" s="1066">
        <f t="shared" si="1"/>
        <v>126837</v>
      </c>
      <c r="T43" s="57"/>
    </row>
    <row r="44" spans="1:20" ht="12.75">
      <c r="A44" s="36" t="s">
        <v>187</v>
      </c>
      <c r="B44" s="205" t="s">
        <v>76</v>
      </c>
      <c r="C44" s="38"/>
      <c r="D44" s="38"/>
      <c r="E44" s="38"/>
      <c r="F44" s="251"/>
      <c r="G44" s="38"/>
      <c r="H44" s="251"/>
      <c r="I44" s="261"/>
      <c r="J44" s="38"/>
      <c r="K44" s="39"/>
      <c r="L44" s="38"/>
      <c r="M44" s="38"/>
      <c r="N44" s="260"/>
      <c r="O44" s="38">
        <v>45000</v>
      </c>
      <c r="P44" s="39"/>
      <c r="Q44" s="889"/>
      <c r="R44" s="259">
        <f>45000-45000</f>
        <v>0</v>
      </c>
      <c r="S44" s="1066">
        <f t="shared" si="1"/>
        <v>45000</v>
      </c>
      <c r="T44" s="57"/>
    </row>
    <row r="45" spans="1:20" ht="12.75">
      <c r="A45" s="36" t="s">
        <v>187</v>
      </c>
      <c r="B45" s="205" t="s">
        <v>188</v>
      </c>
      <c r="C45" s="38"/>
      <c r="D45" s="38"/>
      <c r="E45" s="38"/>
      <c r="F45" s="251"/>
      <c r="G45" s="38"/>
      <c r="H45" s="251">
        <v>578769</v>
      </c>
      <c r="I45" s="261"/>
      <c r="J45" s="38"/>
      <c r="K45" s="39">
        <v>1519436</v>
      </c>
      <c r="L45" s="38">
        <v>9958</v>
      </c>
      <c r="M45" s="38"/>
      <c r="N45" s="260"/>
      <c r="O45" s="154">
        <v>0</v>
      </c>
      <c r="P45" s="39"/>
      <c r="Q45" s="889"/>
      <c r="R45" s="259">
        <f>2108163-578769-9958-1519436</f>
        <v>0</v>
      </c>
      <c r="S45" s="1066">
        <f t="shared" si="1"/>
        <v>2108163</v>
      </c>
      <c r="T45" s="57">
        <f>SUM(S43:S45)</f>
        <v>2280000</v>
      </c>
    </row>
    <row r="46" spans="1:21" ht="12.75">
      <c r="A46" s="36" t="s">
        <v>189</v>
      </c>
      <c r="B46" s="205" t="s">
        <v>72</v>
      </c>
      <c r="C46" s="12">
        <v>40946</v>
      </c>
      <c r="D46" s="12">
        <v>19193</v>
      </c>
      <c r="E46" s="12">
        <v>36231</v>
      </c>
      <c r="F46" s="766">
        <v>40576</v>
      </c>
      <c r="G46" s="38">
        <v>18022</v>
      </c>
      <c r="H46" s="766">
        <v>30640</v>
      </c>
      <c r="I46" s="808">
        <v>0</v>
      </c>
      <c r="J46" s="12">
        <v>10034</v>
      </c>
      <c r="K46" s="39">
        <v>0</v>
      </c>
      <c r="L46" s="38"/>
      <c r="M46" s="38"/>
      <c r="N46" s="260"/>
      <c r="O46" s="38">
        <v>26446</v>
      </c>
      <c r="P46" s="39"/>
      <c r="Q46" s="188"/>
      <c r="R46" s="41">
        <f>268645-SUM(C46:Q46)</f>
        <v>46557</v>
      </c>
      <c r="S46" s="1066">
        <f t="shared" si="1"/>
        <v>268645</v>
      </c>
      <c r="T46" s="57">
        <f>S46+S47+S48</f>
        <v>348496</v>
      </c>
      <c r="U46">
        <f>295216-2823</f>
        <v>292393</v>
      </c>
    </row>
    <row r="47" spans="1:21" ht="14.25" customHeight="1">
      <c r="A47" s="36" t="s">
        <v>189</v>
      </c>
      <c r="B47" s="205" t="s">
        <v>76</v>
      </c>
      <c r="C47" s="38">
        <v>4427</v>
      </c>
      <c r="D47" s="38">
        <v>3068</v>
      </c>
      <c r="E47" s="38">
        <v>9668</v>
      </c>
      <c r="F47" s="251">
        <v>9790</v>
      </c>
      <c r="G47" s="38">
        <v>2045</v>
      </c>
      <c r="H47" s="251">
        <v>9633</v>
      </c>
      <c r="I47" s="261">
        <v>0</v>
      </c>
      <c r="J47" s="38">
        <v>1513</v>
      </c>
      <c r="K47" s="39">
        <v>0</v>
      </c>
      <c r="L47" s="38"/>
      <c r="M47" s="38"/>
      <c r="N47" s="260"/>
      <c r="O47" s="38">
        <v>3112</v>
      </c>
      <c r="P47" s="39"/>
      <c r="Q47" s="188"/>
      <c r="R47" s="41">
        <f>53174-SUM(C47:Q47)</f>
        <v>9918</v>
      </c>
      <c r="S47" s="1066">
        <f t="shared" si="1"/>
        <v>53174</v>
      </c>
      <c r="T47" s="57">
        <f>T46-U46</f>
        <v>56103</v>
      </c>
      <c r="U47" s="491"/>
    </row>
    <row r="48" spans="1:20" ht="12.75">
      <c r="A48" s="36" t="s">
        <v>189</v>
      </c>
      <c r="B48" s="205" t="s">
        <v>188</v>
      </c>
      <c r="C48" s="38">
        <v>0</v>
      </c>
      <c r="D48" s="38">
        <v>0</v>
      </c>
      <c r="E48" s="38">
        <v>0</v>
      </c>
      <c r="F48" s="251">
        <v>0</v>
      </c>
      <c r="G48" s="38">
        <v>0</v>
      </c>
      <c r="H48" s="251">
        <v>5541</v>
      </c>
      <c r="I48" s="261">
        <v>0</v>
      </c>
      <c r="J48" s="38">
        <v>0</v>
      </c>
      <c r="K48" s="39">
        <v>21508</v>
      </c>
      <c r="L48" s="38"/>
      <c r="M48" s="38"/>
      <c r="N48" s="260"/>
      <c r="O48" s="38">
        <v>0</v>
      </c>
      <c r="P48" s="39"/>
      <c r="Q48" s="188"/>
      <c r="R48" s="41">
        <f>26677-SUM(C48:Q48)</f>
        <v>-372</v>
      </c>
      <c r="S48" s="1066">
        <f t="shared" si="1"/>
        <v>26677</v>
      </c>
      <c r="T48" s="57"/>
    </row>
    <row r="49" spans="1:20" ht="12.75">
      <c r="A49" s="53" t="s">
        <v>208</v>
      </c>
      <c r="B49" s="205" t="s">
        <v>72</v>
      </c>
      <c r="C49" s="38">
        <v>16911</v>
      </c>
      <c r="D49" s="38">
        <v>6928</v>
      </c>
      <c r="E49" s="38">
        <v>14077</v>
      </c>
      <c r="F49" s="251">
        <v>17559</v>
      </c>
      <c r="G49" s="38">
        <v>6024</v>
      </c>
      <c r="H49" s="251">
        <v>16253</v>
      </c>
      <c r="I49" s="261">
        <v>0</v>
      </c>
      <c r="J49" s="38">
        <v>4255</v>
      </c>
      <c r="K49" s="39">
        <v>0</v>
      </c>
      <c r="L49" s="38"/>
      <c r="M49" s="38"/>
      <c r="N49" s="260"/>
      <c r="O49" s="38">
        <v>8377</v>
      </c>
      <c r="P49" s="39"/>
      <c r="Q49" s="188"/>
      <c r="R49" s="41">
        <f>90384-90384</f>
        <v>0</v>
      </c>
      <c r="S49" s="1066">
        <f t="shared" si="1"/>
        <v>90384</v>
      </c>
      <c r="T49" s="57">
        <f>SUM(S49:S56)</f>
        <v>141742</v>
      </c>
    </row>
    <row r="50" spans="1:20" ht="12.75">
      <c r="A50" s="53" t="s">
        <v>208</v>
      </c>
      <c r="B50" s="205" t="s">
        <v>76</v>
      </c>
      <c r="C50" s="38">
        <v>1641</v>
      </c>
      <c r="D50" s="38">
        <v>1247</v>
      </c>
      <c r="E50" s="38">
        <v>1459</v>
      </c>
      <c r="F50" s="251">
        <v>3928</v>
      </c>
      <c r="G50" s="38">
        <v>0</v>
      </c>
      <c r="H50" s="251">
        <v>3410</v>
      </c>
      <c r="I50" s="261">
        <v>0</v>
      </c>
      <c r="J50" s="38">
        <v>0</v>
      </c>
      <c r="K50" s="39">
        <v>0</v>
      </c>
      <c r="L50" s="38"/>
      <c r="M50" s="38"/>
      <c r="N50" s="260"/>
      <c r="O50" s="38">
        <v>801</v>
      </c>
      <c r="P50" s="39"/>
      <c r="Q50" s="188"/>
      <c r="R50" s="41">
        <f>12486-12486</f>
        <v>0</v>
      </c>
      <c r="S50" s="1066">
        <f t="shared" si="1"/>
        <v>12486</v>
      </c>
      <c r="T50" s="57"/>
    </row>
    <row r="51" spans="1:20" s="2" customFormat="1" ht="12.75">
      <c r="A51" s="53" t="s">
        <v>208</v>
      </c>
      <c r="B51" s="205" t="s">
        <v>188</v>
      </c>
      <c r="C51" s="38">
        <v>0</v>
      </c>
      <c r="D51" s="38">
        <v>0</v>
      </c>
      <c r="E51" s="38">
        <v>0</v>
      </c>
      <c r="F51" s="251">
        <v>0</v>
      </c>
      <c r="G51" s="38">
        <v>0</v>
      </c>
      <c r="H51" s="251">
        <v>1696</v>
      </c>
      <c r="I51" s="261">
        <v>0</v>
      </c>
      <c r="J51" s="38">
        <v>0</v>
      </c>
      <c r="K51" s="39">
        <v>3809</v>
      </c>
      <c r="L51" s="38"/>
      <c r="M51" s="38"/>
      <c r="N51" s="260"/>
      <c r="O51" s="38">
        <v>0</v>
      </c>
      <c r="P51" s="39"/>
      <c r="Q51" s="260"/>
      <c r="R51" s="41">
        <f>5505-5505</f>
        <v>0</v>
      </c>
      <c r="S51" s="1066">
        <f t="shared" si="1"/>
        <v>5505</v>
      </c>
      <c r="T51" s="57"/>
    </row>
    <row r="52" spans="1:20" s="2" customFormat="1" ht="12.75">
      <c r="A52" s="53" t="s">
        <v>209</v>
      </c>
      <c r="B52" s="205" t="s">
        <v>72</v>
      </c>
      <c r="C52" s="38">
        <v>4000</v>
      </c>
      <c r="D52" s="38">
        <v>1750</v>
      </c>
      <c r="E52" s="37">
        <v>445</v>
      </c>
      <c r="F52" s="37">
        <v>4400</v>
      </c>
      <c r="G52" s="38">
        <v>3300</v>
      </c>
      <c r="H52" s="251">
        <v>3000</v>
      </c>
      <c r="I52" s="261">
        <v>0</v>
      </c>
      <c r="J52" s="38">
        <v>2750</v>
      </c>
      <c r="K52" s="39">
        <v>0</v>
      </c>
      <c r="L52" s="38"/>
      <c r="M52" s="38"/>
      <c r="N52" s="260"/>
      <c r="O52" s="38">
        <v>4200</v>
      </c>
      <c r="P52" s="39"/>
      <c r="Q52" s="260"/>
      <c r="R52" s="41">
        <f>34278-34278</f>
        <v>0</v>
      </c>
      <c r="S52" s="1066">
        <f>SUM(C52:R52)-S53-S54</f>
        <v>13412</v>
      </c>
      <c r="T52" s="57"/>
    </row>
    <row r="53" spans="1:20" s="2" customFormat="1" ht="12.75">
      <c r="A53" s="53" t="s">
        <v>209</v>
      </c>
      <c r="B53" s="205" t="s">
        <v>76</v>
      </c>
      <c r="C53" s="38">
        <v>250</v>
      </c>
      <c r="D53" s="38">
        <v>700</v>
      </c>
      <c r="E53" s="37">
        <v>83</v>
      </c>
      <c r="F53" s="37">
        <v>1100</v>
      </c>
      <c r="G53" s="38">
        <v>0</v>
      </c>
      <c r="H53" s="251">
        <v>2400</v>
      </c>
      <c r="I53" s="261">
        <v>0</v>
      </c>
      <c r="J53" s="38">
        <v>550</v>
      </c>
      <c r="K53" s="39">
        <v>0</v>
      </c>
      <c r="L53" s="38"/>
      <c r="M53" s="38"/>
      <c r="N53" s="260"/>
      <c r="O53" s="38">
        <v>800</v>
      </c>
      <c r="P53" s="39"/>
      <c r="Q53" s="260"/>
      <c r="R53" s="41">
        <v>0</v>
      </c>
      <c r="S53" s="1066">
        <f t="shared" si="1"/>
        <v>5883</v>
      </c>
      <c r="T53" s="57"/>
    </row>
    <row r="54" spans="1:20" s="2" customFormat="1" ht="12.75">
      <c r="A54" s="53" t="s">
        <v>209</v>
      </c>
      <c r="B54" s="205" t="s">
        <v>188</v>
      </c>
      <c r="C54" s="38">
        <v>0</v>
      </c>
      <c r="D54" s="38">
        <v>0</v>
      </c>
      <c r="E54" s="37">
        <v>0</v>
      </c>
      <c r="F54" s="37">
        <v>0</v>
      </c>
      <c r="G54" s="38">
        <v>0</v>
      </c>
      <c r="H54" s="251">
        <v>1800</v>
      </c>
      <c r="I54" s="261">
        <v>0</v>
      </c>
      <c r="J54" s="38"/>
      <c r="K54" s="39">
        <v>2750</v>
      </c>
      <c r="L54" s="38"/>
      <c r="M54" s="38"/>
      <c r="N54" s="260"/>
      <c r="O54" s="38">
        <v>0</v>
      </c>
      <c r="P54" s="39"/>
      <c r="Q54" s="260"/>
      <c r="R54" s="41">
        <v>0</v>
      </c>
      <c r="S54" s="1066">
        <f t="shared" si="1"/>
        <v>4550</v>
      </c>
      <c r="T54" s="57"/>
    </row>
    <row r="55" spans="1:20" ht="12.75">
      <c r="A55" s="100" t="s">
        <v>210</v>
      </c>
      <c r="B55" s="205" t="s">
        <v>72</v>
      </c>
      <c r="C55" s="38"/>
      <c r="D55" s="38"/>
      <c r="E55" s="38"/>
      <c r="F55" s="135"/>
      <c r="G55" s="38"/>
      <c r="H55" s="251"/>
      <c r="I55" s="261"/>
      <c r="J55" s="38"/>
      <c r="K55" s="39"/>
      <c r="L55" s="38"/>
      <c r="M55" s="12"/>
      <c r="N55" s="141"/>
      <c r="O55" s="12"/>
      <c r="P55" s="40">
        <v>4850</v>
      </c>
      <c r="Q55" s="141"/>
      <c r="R55" s="676">
        <f>4850-4850</f>
        <v>0</v>
      </c>
      <c r="S55" s="1066">
        <f t="shared" si="1"/>
        <v>4850</v>
      </c>
      <c r="T55" s="57"/>
    </row>
    <row r="56" spans="1:20" ht="12.75">
      <c r="A56" s="53" t="s">
        <v>211</v>
      </c>
      <c r="B56" s="205" t="s">
        <v>72</v>
      </c>
      <c r="C56" s="38"/>
      <c r="D56" s="38"/>
      <c r="E56" s="38"/>
      <c r="F56" s="135"/>
      <c r="G56" s="38"/>
      <c r="H56" s="251"/>
      <c r="I56" s="261"/>
      <c r="J56" s="38"/>
      <c r="K56" s="39"/>
      <c r="L56" s="38"/>
      <c r="M56" s="12"/>
      <c r="N56" s="141"/>
      <c r="O56" s="12"/>
      <c r="P56" s="40">
        <v>4672</v>
      </c>
      <c r="Q56" s="141"/>
      <c r="R56" s="676">
        <f>4672-4672</f>
        <v>0</v>
      </c>
      <c r="S56" s="1066">
        <f t="shared" si="1"/>
        <v>4672</v>
      </c>
      <c r="T56" s="57"/>
    </row>
    <row r="57" spans="1:20" ht="12.75">
      <c r="A57" s="53" t="s">
        <v>238</v>
      </c>
      <c r="B57" s="205" t="s">
        <v>72</v>
      </c>
      <c r="C57" s="37"/>
      <c r="D57" s="37"/>
      <c r="E57" s="38"/>
      <c r="F57" s="251"/>
      <c r="G57" s="38"/>
      <c r="H57" s="37"/>
      <c r="I57" s="811"/>
      <c r="J57" s="38"/>
      <c r="K57" s="40"/>
      <c r="L57" s="12"/>
      <c r="M57" s="12"/>
      <c r="N57" s="141"/>
      <c r="O57" s="12"/>
      <c r="P57" s="40"/>
      <c r="Q57" s="141"/>
      <c r="R57" s="642">
        <v>66397</v>
      </c>
      <c r="S57" s="1066">
        <f t="shared" si="1"/>
        <v>66397</v>
      </c>
      <c r="T57" s="57">
        <f>R57+R58+R59</f>
        <v>539902</v>
      </c>
    </row>
    <row r="58" spans="1:20" ht="12.75">
      <c r="A58" s="53" t="s">
        <v>238</v>
      </c>
      <c r="B58" s="205" t="s">
        <v>76</v>
      </c>
      <c r="C58" s="38"/>
      <c r="D58" s="38"/>
      <c r="E58" s="38"/>
      <c r="F58" s="251"/>
      <c r="G58" s="38"/>
      <c r="H58" s="251"/>
      <c r="I58" s="261"/>
      <c r="J58" s="38"/>
      <c r="K58" s="39"/>
      <c r="L58" s="38"/>
      <c r="M58" s="38"/>
      <c r="N58" s="260"/>
      <c r="O58" s="38"/>
      <c r="P58" s="39"/>
      <c r="Q58" s="260"/>
      <c r="R58" s="642">
        <v>90327</v>
      </c>
      <c r="S58" s="1066">
        <f t="shared" si="1"/>
        <v>90327</v>
      </c>
      <c r="T58" s="57"/>
    </row>
    <row r="59" spans="1:20" ht="12.75">
      <c r="A59" s="42" t="s">
        <v>239</v>
      </c>
      <c r="B59" s="205" t="s">
        <v>76</v>
      </c>
      <c r="C59" s="38"/>
      <c r="D59" s="38"/>
      <c r="E59" s="37"/>
      <c r="F59" s="37"/>
      <c r="G59" s="38"/>
      <c r="H59" s="251"/>
      <c r="I59" s="261"/>
      <c r="J59" s="38"/>
      <c r="K59" s="39"/>
      <c r="L59" s="38"/>
      <c r="M59" s="38"/>
      <c r="N59" s="260"/>
      <c r="O59" s="38"/>
      <c r="P59" s="39"/>
      <c r="Q59" s="260"/>
      <c r="R59" s="642">
        <v>383178</v>
      </c>
      <c r="S59" s="1066">
        <f t="shared" si="1"/>
        <v>383178</v>
      </c>
      <c r="T59" s="57"/>
    </row>
    <row r="60" spans="1:20" ht="12.75">
      <c r="A60" s="8" t="s">
        <v>243</v>
      </c>
      <c r="B60" s="205" t="s">
        <v>242</v>
      </c>
      <c r="C60" s="38"/>
      <c r="D60" s="38"/>
      <c r="E60" s="38"/>
      <c r="F60" s="135"/>
      <c r="G60" s="38"/>
      <c r="H60" s="251"/>
      <c r="I60" s="261"/>
      <c r="J60" s="38"/>
      <c r="K60" s="39"/>
      <c r="L60" s="38"/>
      <c r="M60" s="12"/>
      <c r="N60" s="141"/>
      <c r="O60" s="12"/>
      <c r="P60" s="40"/>
      <c r="Q60" s="141"/>
      <c r="R60" s="642">
        <f>1529000+198977+200000-1529000-198977-200000</f>
        <v>0</v>
      </c>
      <c r="S60" s="1066">
        <f t="shared" si="1"/>
        <v>0</v>
      </c>
      <c r="T60" s="57">
        <f>SUM(S61:S63)</f>
        <v>1927977</v>
      </c>
    </row>
    <row r="61" spans="1:20" ht="12.75">
      <c r="A61" s="8" t="s">
        <v>262</v>
      </c>
      <c r="B61" s="205"/>
      <c r="C61" s="38"/>
      <c r="D61" s="38"/>
      <c r="E61" s="38">
        <v>1529000</v>
      </c>
      <c r="F61" s="135"/>
      <c r="G61" s="38"/>
      <c r="H61" s="251"/>
      <c r="I61" s="261"/>
      <c r="J61" s="38"/>
      <c r="K61" s="39"/>
      <c r="L61" s="38"/>
      <c r="M61" s="12"/>
      <c r="N61" s="141"/>
      <c r="O61" s="12"/>
      <c r="P61" s="40"/>
      <c r="Q61" s="141"/>
      <c r="R61" s="642">
        <f>1529000+198977+200000-1529000-198977-200000</f>
        <v>0</v>
      </c>
      <c r="S61" s="1066">
        <f t="shared" si="1"/>
        <v>1529000</v>
      </c>
      <c r="T61" s="57"/>
    </row>
    <row r="62" spans="1:20" ht="12.75">
      <c r="A62" s="8" t="s">
        <v>263</v>
      </c>
      <c r="B62" s="205"/>
      <c r="C62" s="38"/>
      <c r="D62" s="38"/>
      <c r="E62" s="38"/>
      <c r="F62" s="135"/>
      <c r="G62" s="38"/>
      <c r="H62" s="251">
        <v>198977</v>
      </c>
      <c r="I62" s="261"/>
      <c r="J62" s="38"/>
      <c r="K62" s="39"/>
      <c r="L62" s="38"/>
      <c r="M62" s="12"/>
      <c r="N62" s="141"/>
      <c r="O62" s="12"/>
      <c r="P62" s="40"/>
      <c r="Q62" s="141"/>
      <c r="R62" s="642">
        <f>1529000+198977+200000-1529000-198977-200000</f>
        <v>0</v>
      </c>
      <c r="S62" s="1066">
        <f t="shared" si="1"/>
        <v>198977</v>
      </c>
      <c r="T62" s="57"/>
    </row>
    <row r="63" spans="1:20" ht="12.75">
      <c r="A63" s="8" t="s">
        <v>264</v>
      </c>
      <c r="B63" s="205"/>
      <c r="C63" s="38"/>
      <c r="D63" s="38"/>
      <c r="E63" s="38"/>
      <c r="F63" s="135"/>
      <c r="G63" s="38"/>
      <c r="H63" s="251"/>
      <c r="I63" s="261"/>
      <c r="J63" s="38"/>
      <c r="K63" s="39"/>
      <c r="L63" s="38"/>
      <c r="M63" s="12"/>
      <c r="N63" s="141"/>
      <c r="O63" s="12"/>
      <c r="P63" s="40"/>
      <c r="Q63" s="141">
        <v>200000</v>
      </c>
      <c r="R63" s="642">
        <f>1529000+198977+200000-1529000-198977-200000</f>
        <v>0</v>
      </c>
      <c r="S63" s="1066">
        <f t="shared" si="1"/>
        <v>200000</v>
      </c>
      <c r="T63" s="57"/>
    </row>
    <row r="64" spans="1:20" ht="12.75">
      <c r="A64" s="8" t="s">
        <v>244</v>
      </c>
      <c r="B64" s="205" t="s">
        <v>72</v>
      </c>
      <c r="C64" s="38">
        <v>145595</v>
      </c>
      <c r="D64" s="38">
        <v>66948</v>
      </c>
      <c r="E64" s="38">
        <v>125506</v>
      </c>
      <c r="F64" s="135">
        <v>142497</v>
      </c>
      <c r="G64" s="38">
        <v>63470</v>
      </c>
      <c r="H64" s="251">
        <v>110764</v>
      </c>
      <c r="I64" s="261">
        <v>0</v>
      </c>
      <c r="J64" s="38">
        <v>37544</v>
      </c>
      <c r="K64" s="39">
        <v>0</v>
      </c>
      <c r="L64" s="38">
        <v>0</v>
      </c>
      <c r="M64" s="12">
        <v>0</v>
      </c>
      <c r="N64" s="141">
        <v>0</v>
      </c>
      <c r="O64" s="12">
        <v>101448</v>
      </c>
      <c r="P64" s="40"/>
      <c r="Q64" s="141"/>
      <c r="R64" s="676">
        <f>841634-SUM(C64:Q64)</f>
        <v>47862</v>
      </c>
      <c r="S64" s="1066">
        <f t="shared" si="1"/>
        <v>841634</v>
      </c>
      <c r="T64" s="57"/>
    </row>
    <row r="65" spans="1:20" ht="12.75">
      <c r="A65" s="8" t="s">
        <v>244</v>
      </c>
      <c r="B65" s="205" t="s">
        <v>76</v>
      </c>
      <c r="C65" s="38">
        <v>15378</v>
      </c>
      <c r="D65" s="38">
        <v>8806</v>
      </c>
      <c r="E65" s="38">
        <v>35869</v>
      </c>
      <c r="F65" s="135">
        <v>42154</v>
      </c>
      <c r="G65" s="38">
        <v>7155</v>
      </c>
      <c r="H65" s="251">
        <v>31962</v>
      </c>
      <c r="I65" s="261">
        <v>0</v>
      </c>
      <c r="J65" s="38">
        <v>6088</v>
      </c>
      <c r="K65" s="39">
        <v>0</v>
      </c>
      <c r="L65" s="38">
        <v>0</v>
      </c>
      <c r="M65" s="12">
        <v>0</v>
      </c>
      <c r="N65" s="141">
        <v>0</v>
      </c>
      <c r="O65" s="12">
        <v>1180</v>
      </c>
      <c r="P65" s="40"/>
      <c r="Q65" s="141"/>
      <c r="R65" s="676">
        <f>165857-SUM(C65:Q65)</f>
        <v>17265</v>
      </c>
      <c r="S65" s="1066">
        <f t="shared" si="1"/>
        <v>165857</v>
      </c>
      <c r="T65" s="57"/>
    </row>
    <row r="66" spans="1:20" ht="12.75">
      <c r="A66" s="8" t="s">
        <v>244</v>
      </c>
      <c r="B66" s="205" t="s">
        <v>188</v>
      </c>
      <c r="C66" s="38">
        <v>0</v>
      </c>
      <c r="D66" s="38">
        <v>0</v>
      </c>
      <c r="E66" s="38">
        <v>0</v>
      </c>
      <c r="F66" s="135">
        <v>0</v>
      </c>
      <c r="G66" s="38">
        <v>0</v>
      </c>
      <c r="H66" s="251">
        <v>19762</v>
      </c>
      <c r="I66" s="261">
        <v>0</v>
      </c>
      <c r="J66" s="38">
        <v>0</v>
      </c>
      <c r="K66" s="39">
        <v>74824</v>
      </c>
      <c r="L66" s="38">
        <v>0</v>
      </c>
      <c r="M66" s="12">
        <v>0</v>
      </c>
      <c r="N66" s="141">
        <v>0</v>
      </c>
      <c r="O66" s="12">
        <v>0</v>
      </c>
      <c r="P66" s="40"/>
      <c r="Q66" s="141"/>
      <c r="R66" s="676">
        <f>103678-SUM(C66:Q66)</f>
        <v>9092</v>
      </c>
      <c r="S66" s="1066">
        <f t="shared" si="1"/>
        <v>103678</v>
      </c>
      <c r="T66" s="57"/>
    </row>
    <row r="67" spans="1:20" ht="12.75">
      <c r="A67" s="8" t="s">
        <v>246</v>
      </c>
      <c r="B67" s="150" t="s">
        <v>252</v>
      </c>
      <c r="C67" s="38">
        <v>2800</v>
      </c>
      <c r="D67" s="38"/>
      <c r="E67" s="38">
        <v>400</v>
      </c>
      <c r="F67" s="251">
        <v>4800</v>
      </c>
      <c r="G67" s="38">
        <v>1600</v>
      </c>
      <c r="H67" s="251">
        <v>600</v>
      </c>
      <c r="I67" s="261"/>
      <c r="J67" s="38"/>
      <c r="K67" s="39"/>
      <c r="L67" s="38"/>
      <c r="M67" s="12"/>
      <c r="N67" s="141"/>
      <c r="O67" s="12"/>
      <c r="P67" s="40"/>
      <c r="Q67" s="141"/>
      <c r="R67" s="676">
        <v>0</v>
      </c>
      <c r="S67" s="1066">
        <f t="shared" si="1"/>
        <v>10200</v>
      </c>
      <c r="T67" s="57"/>
    </row>
    <row r="68" spans="1:20" ht="12.75">
      <c r="A68" s="8" t="s">
        <v>248</v>
      </c>
      <c r="B68" s="205" t="s">
        <v>76</v>
      </c>
      <c r="C68" s="38"/>
      <c r="D68" s="38"/>
      <c r="E68" s="38"/>
      <c r="F68" s="251"/>
      <c r="G68" s="38"/>
      <c r="H68" s="251"/>
      <c r="I68" s="261"/>
      <c r="J68" s="38"/>
      <c r="K68" s="39"/>
      <c r="L68" s="38"/>
      <c r="M68" s="12"/>
      <c r="N68" s="141"/>
      <c r="O68" s="12"/>
      <c r="P68" s="40"/>
      <c r="Q68" s="141"/>
      <c r="R68" s="676">
        <v>124387</v>
      </c>
      <c r="S68" s="1066">
        <f t="shared" si="1"/>
        <v>124387</v>
      </c>
      <c r="T68" s="57"/>
    </row>
    <row r="69" spans="1:20" ht="12.75">
      <c r="A69" s="8" t="s">
        <v>253</v>
      </c>
      <c r="B69" s="205"/>
      <c r="C69" s="38"/>
      <c r="D69" s="38"/>
      <c r="E69" s="38"/>
      <c r="F69" s="251"/>
      <c r="G69" s="38"/>
      <c r="H69" s="251"/>
      <c r="I69" s="261"/>
      <c r="J69" s="38"/>
      <c r="K69" s="39"/>
      <c r="L69" s="38"/>
      <c r="M69" s="12"/>
      <c r="N69" s="141"/>
      <c r="O69" s="12"/>
      <c r="P69" s="40"/>
      <c r="Q69" s="141"/>
      <c r="R69" s="676">
        <v>110728</v>
      </c>
      <c r="S69" s="1066">
        <f t="shared" si="1"/>
        <v>110728</v>
      </c>
      <c r="T69" s="57"/>
    </row>
    <row r="70" spans="1:20" ht="12.75">
      <c r="A70" s="36" t="s">
        <v>249</v>
      </c>
      <c r="B70" s="205" t="s">
        <v>72</v>
      </c>
      <c r="C70" s="38"/>
      <c r="D70" s="38"/>
      <c r="E70" s="38"/>
      <c r="F70" s="135"/>
      <c r="G70" s="38"/>
      <c r="H70" s="251"/>
      <c r="I70" s="261"/>
      <c r="J70" s="38"/>
      <c r="K70" s="39"/>
      <c r="L70" s="38"/>
      <c r="M70" s="12"/>
      <c r="N70" s="141"/>
      <c r="O70" s="12"/>
      <c r="P70" s="40"/>
      <c r="Q70" s="141"/>
      <c r="R70" s="676">
        <v>611400</v>
      </c>
      <c r="S70" s="1066">
        <f t="shared" si="1"/>
        <v>611400</v>
      </c>
      <c r="T70" s="57"/>
    </row>
    <row r="71" spans="1:20" ht="12.75">
      <c r="A71" s="36" t="s">
        <v>249</v>
      </c>
      <c r="B71" s="205" t="s">
        <v>76</v>
      </c>
      <c r="C71" s="38"/>
      <c r="D71" s="38"/>
      <c r="E71" s="38"/>
      <c r="F71" s="135"/>
      <c r="G71" s="38"/>
      <c r="H71" s="251"/>
      <c r="I71" s="261"/>
      <c r="J71" s="38"/>
      <c r="K71" s="39"/>
      <c r="L71" s="38"/>
      <c r="M71" s="12"/>
      <c r="N71" s="141"/>
      <c r="O71" s="12"/>
      <c r="P71" s="40"/>
      <c r="Q71" s="141"/>
      <c r="R71" s="676">
        <v>10000</v>
      </c>
      <c r="S71" s="1066">
        <f t="shared" si="1"/>
        <v>10000</v>
      </c>
      <c r="T71" s="57"/>
    </row>
    <row r="72" spans="1:20" ht="12.75">
      <c r="A72" s="36" t="s">
        <v>249</v>
      </c>
      <c r="B72" s="205" t="s">
        <v>188</v>
      </c>
      <c r="C72" s="38"/>
      <c r="D72" s="38"/>
      <c r="E72" s="38"/>
      <c r="F72" s="135"/>
      <c r="G72" s="38"/>
      <c r="H72" s="251"/>
      <c r="I72" s="261"/>
      <c r="J72" s="38"/>
      <c r="K72" s="39"/>
      <c r="L72" s="38"/>
      <c r="M72" s="12"/>
      <c r="N72" s="141"/>
      <c r="O72" s="12"/>
      <c r="P72" s="40"/>
      <c r="Q72" s="141"/>
      <c r="R72" s="676">
        <v>1116981</v>
      </c>
      <c r="S72" s="1066">
        <f t="shared" si="1"/>
        <v>1116981</v>
      </c>
      <c r="T72" s="57"/>
    </row>
    <row r="73" spans="1:20" ht="12.75">
      <c r="A73" s="36" t="s">
        <v>250</v>
      </c>
      <c r="B73" s="150" t="s">
        <v>251</v>
      </c>
      <c r="C73" s="38">
        <v>14285</v>
      </c>
      <c r="D73" s="38">
        <v>2123</v>
      </c>
      <c r="E73" s="38">
        <v>8794</v>
      </c>
      <c r="F73" s="135">
        <v>10549</v>
      </c>
      <c r="G73" s="38">
        <v>6690</v>
      </c>
      <c r="H73" s="251">
        <v>6152</v>
      </c>
      <c r="I73" s="261">
        <v>0</v>
      </c>
      <c r="J73" s="38">
        <v>6294</v>
      </c>
      <c r="K73" s="39">
        <v>0</v>
      </c>
      <c r="L73" s="38">
        <v>0</v>
      </c>
      <c r="M73" s="12">
        <v>113</v>
      </c>
      <c r="N73" s="141">
        <v>0</v>
      </c>
      <c r="O73" s="12">
        <v>0</v>
      </c>
      <c r="P73" s="40">
        <v>0</v>
      </c>
      <c r="Q73" s="141">
        <v>0</v>
      </c>
      <c r="R73" s="676">
        <f>55000-SUM(C73:Q73)</f>
        <v>0</v>
      </c>
      <c r="S73" s="1066">
        <f t="shared" si="1"/>
        <v>55000</v>
      </c>
      <c r="T73" s="57"/>
    </row>
    <row r="74" spans="1:20" ht="13.5" thickBot="1">
      <c r="A74" s="101"/>
      <c r="B74" s="80"/>
      <c r="C74" s="37"/>
      <c r="D74" s="37"/>
      <c r="E74" s="38"/>
      <c r="F74" s="251"/>
      <c r="G74" s="38"/>
      <c r="H74" s="37"/>
      <c r="I74" s="811"/>
      <c r="J74" s="38"/>
      <c r="K74" s="40"/>
      <c r="L74" s="12"/>
      <c r="M74" s="12"/>
      <c r="N74" s="141"/>
      <c r="O74" s="12"/>
      <c r="P74" s="40"/>
      <c r="Q74" s="141"/>
      <c r="R74" s="676"/>
      <c r="S74" s="1066">
        <f t="shared" si="1"/>
        <v>0</v>
      </c>
      <c r="T74" s="57"/>
    </row>
    <row r="75" spans="1:20" ht="15" customHeight="1" thickBot="1">
      <c r="A75" s="123" t="s">
        <v>21</v>
      </c>
      <c r="B75" s="206"/>
      <c r="C75" s="38"/>
      <c r="D75" s="38"/>
      <c r="E75" s="38"/>
      <c r="F75" s="251"/>
      <c r="G75" s="38"/>
      <c r="H75" s="251"/>
      <c r="I75" s="261"/>
      <c r="J75" s="38"/>
      <c r="K75" s="684"/>
      <c r="L75" s="65"/>
      <c r="M75" s="38"/>
      <c r="N75" s="260"/>
      <c r="O75" s="65"/>
      <c r="P75" s="684"/>
      <c r="Q75" s="263"/>
      <c r="R75" s="209"/>
      <c r="S75" s="1066">
        <f t="shared" si="1"/>
        <v>0</v>
      </c>
      <c r="T75" s="57"/>
    </row>
    <row r="76" spans="1:20" ht="15" customHeight="1">
      <c r="A76" s="124" t="s">
        <v>138</v>
      </c>
      <c r="B76" s="207" t="s">
        <v>48</v>
      </c>
      <c r="C76" s="38"/>
      <c r="D76" s="38">
        <v>-25375</v>
      </c>
      <c r="E76" s="38"/>
      <c r="F76" s="251">
        <v>25375</v>
      </c>
      <c r="G76" s="38"/>
      <c r="H76" s="251"/>
      <c r="I76" s="261"/>
      <c r="J76" s="38"/>
      <c r="K76" s="684"/>
      <c r="L76" s="65"/>
      <c r="M76" s="38"/>
      <c r="N76" s="260"/>
      <c r="O76" s="65"/>
      <c r="P76" s="684"/>
      <c r="Q76" s="263"/>
      <c r="R76" s="209"/>
      <c r="S76" s="1066">
        <f t="shared" si="1"/>
        <v>0</v>
      </c>
      <c r="T76" s="57"/>
    </row>
    <row r="77" spans="1:20" ht="15" customHeight="1">
      <c r="A77" s="124" t="s">
        <v>139</v>
      </c>
      <c r="B77" s="207" t="s">
        <v>48</v>
      </c>
      <c r="C77" s="38"/>
      <c r="D77" s="38">
        <v>-41156</v>
      </c>
      <c r="E77" s="38"/>
      <c r="F77" s="251"/>
      <c r="G77" s="38"/>
      <c r="H77" s="251"/>
      <c r="I77" s="261"/>
      <c r="J77" s="38">
        <v>41156</v>
      </c>
      <c r="K77" s="684"/>
      <c r="L77" s="65"/>
      <c r="M77" s="38"/>
      <c r="N77" s="260"/>
      <c r="O77" s="65"/>
      <c r="P77" s="684"/>
      <c r="Q77" s="263"/>
      <c r="R77" s="209"/>
      <c r="S77" s="1066">
        <f t="shared" si="1"/>
        <v>0</v>
      </c>
      <c r="T77" s="57"/>
    </row>
    <row r="78" spans="1:20" ht="15" customHeight="1">
      <c r="A78" s="217"/>
      <c r="B78" s="218"/>
      <c r="C78" s="38"/>
      <c r="D78" s="38"/>
      <c r="E78" s="38"/>
      <c r="F78" s="251"/>
      <c r="G78" s="38"/>
      <c r="H78" s="251"/>
      <c r="I78" s="261"/>
      <c r="J78" s="38"/>
      <c r="K78" s="684"/>
      <c r="L78" s="65"/>
      <c r="M78" s="38"/>
      <c r="N78" s="260"/>
      <c r="O78" s="65"/>
      <c r="P78" s="684"/>
      <c r="Q78" s="263"/>
      <c r="R78" s="209"/>
      <c r="S78" s="1066">
        <f t="shared" si="1"/>
        <v>0</v>
      </c>
      <c r="T78" s="57"/>
    </row>
    <row r="79" spans="1:20" ht="12.75">
      <c r="A79" s="217"/>
      <c r="B79" s="218"/>
      <c r="C79" s="38"/>
      <c r="D79" s="38"/>
      <c r="E79" s="38"/>
      <c r="F79" s="251"/>
      <c r="G79" s="38"/>
      <c r="H79" s="251"/>
      <c r="I79" s="261"/>
      <c r="J79" s="38"/>
      <c r="K79" s="684"/>
      <c r="L79" s="65"/>
      <c r="M79" s="38"/>
      <c r="N79" s="260"/>
      <c r="O79" s="65"/>
      <c r="P79" s="684"/>
      <c r="Q79" s="263"/>
      <c r="R79" s="209"/>
      <c r="S79" s="1066">
        <f aca="true" t="shared" si="2" ref="S79:S85">SUM(C79:R79)</f>
        <v>0</v>
      </c>
      <c r="T79" s="57"/>
    </row>
    <row r="80" spans="1:20" ht="12.75">
      <c r="A80" s="217"/>
      <c r="B80" s="150"/>
      <c r="C80" s="114"/>
      <c r="D80" s="114"/>
      <c r="E80" s="114"/>
      <c r="F80" s="769"/>
      <c r="G80" s="114"/>
      <c r="H80" s="769"/>
      <c r="I80" s="812"/>
      <c r="J80" s="114"/>
      <c r="K80" s="829"/>
      <c r="L80" s="114"/>
      <c r="M80" s="114"/>
      <c r="N80" s="852"/>
      <c r="O80" s="114"/>
      <c r="P80" s="829"/>
      <c r="Q80" s="852"/>
      <c r="R80" s="677"/>
      <c r="S80" s="1066">
        <f t="shared" si="2"/>
        <v>0</v>
      </c>
      <c r="T80" s="57"/>
    </row>
    <row r="81" spans="1:20" ht="12" customHeight="1">
      <c r="A81" s="217"/>
      <c r="B81" s="150"/>
      <c r="C81" s="114"/>
      <c r="D81" s="246"/>
      <c r="E81" s="246"/>
      <c r="F81" s="774"/>
      <c r="G81" s="246"/>
      <c r="H81" s="769"/>
      <c r="I81" s="812"/>
      <c r="J81" s="114"/>
      <c r="K81" s="829"/>
      <c r="L81" s="114"/>
      <c r="M81" s="114"/>
      <c r="N81" s="852"/>
      <c r="O81" s="114"/>
      <c r="P81" s="829"/>
      <c r="Q81" s="852"/>
      <c r="R81" s="677"/>
      <c r="S81" s="1066">
        <f t="shared" si="2"/>
        <v>0</v>
      </c>
      <c r="T81" s="57"/>
    </row>
    <row r="82" spans="1:20" ht="12" customHeight="1">
      <c r="A82" s="217"/>
      <c r="B82" s="150"/>
      <c r="C82" s="114"/>
      <c r="D82" s="246"/>
      <c r="E82" s="246"/>
      <c r="F82" s="774"/>
      <c r="G82" s="246"/>
      <c r="H82" s="769"/>
      <c r="I82" s="812"/>
      <c r="J82" s="114"/>
      <c r="K82" s="829"/>
      <c r="L82" s="114"/>
      <c r="M82" s="114"/>
      <c r="N82" s="852"/>
      <c r="O82" s="114"/>
      <c r="P82" s="829"/>
      <c r="Q82" s="852"/>
      <c r="R82" s="677"/>
      <c r="S82" s="1066">
        <f t="shared" si="2"/>
        <v>0</v>
      </c>
      <c r="T82" s="57"/>
    </row>
    <row r="83" spans="1:20" ht="12" customHeight="1">
      <c r="A83" s="217"/>
      <c r="B83" s="150"/>
      <c r="C83" s="114"/>
      <c r="D83" s="246"/>
      <c r="E83" s="246"/>
      <c r="F83" s="774"/>
      <c r="G83" s="246"/>
      <c r="H83" s="769"/>
      <c r="I83" s="812"/>
      <c r="J83" s="114"/>
      <c r="K83" s="829"/>
      <c r="L83" s="114"/>
      <c r="M83" s="114"/>
      <c r="N83" s="852"/>
      <c r="O83" s="114"/>
      <c r="P83" s="829"/>
      <c r="Q83" s="852"/>
      <c r="R83" s="677"/>
      <c r="S83" s="1066">
        <f t="shared" si="2"/>
        <v>0</v>
      </c>
      <c r="T83" s="57"/>
    </row>
    <row r="84" spans="1:20" ht="12" customHeight="1" thickBot="1">
      <c r="A84" s="247"/>
      <c r="B84" s="150"/>
      <c r="C84" s="114"/>
      <c r="D84" s="246"/>
      <c r="E84" s="246"/>
      <c r="F84" s="774"/>
      <c r="G84" s="246"/>
      <c r="H84" s="769"/>
      <c r="I84" s="812"/>
      <c r="J84" s="114"/>
      <c r="K84" s="829"/>
      <c r="L84" s="114"/>
      <c r="M84" s="114"/>
      <c r="N84" s="852"/>
      <c r="O84" s="114"/>
      <c r="P84" s="829"/>
      <c r="Q84" s="852"/>
      <c r="R84" s="677"/>
      <c r="S84" s="1066">
        <f t="shared" si="2"/>
        <v>0</v>
      </c>
      <c r="T84" s="57"/>
    </row>
    <row r="85" spans="1:20" ht="15" customHeight="1" thickBot="1">
      <c r="A85" s="123" t="s">
        <v>22</v>
      </c>
      <c r="B85" s="129"/>
      <c r="C85" s="118"/>
      <c r="D85" s="118"/>
      <c r="E85" s="118"/>
      <c r="F85" s="770"/>
      <c r="G85" s="118"/>
      <c r="H85" s="770"/>
      <c r="I85" s="813"/>
      <c r="J85" s="118"/>
      <c r="K85" s="830"/>
      <c r="L85" s="211"/>
      <c r="M85" s="118"/>
      <c r="N85" s="853"/>
      <c r="O85" s="211"/>
      <c r="P85" s="830"/>
      <c r="Q85" s="264"/>
      <c r="R85" s="214"/>
      <c r="S85" s="1066">
        <f t="shared" si="2"/>
        <v>0</v>
      </c>
      <c r="T85" s="57"/>
    </row>
    <row r="86" spans="1:20" ht="0.75" customHeight="1" thickBot="1">
      <c r="A86" s="36" t="s">
        <v>23</v>
      </c>
      <c r="B86" s="129"/>
      <c r="C86" s="118"/>
      <c r="D86" s="118"/>
      <c r="E86" s="118"/>
      <c r="F86" s="770"/>
      <c r="G86" s="118"/>
      <c r="H86" s="770"/>
      <c r="I86" s="813"/>
      <c r="J86" s="118"/>
      <c r="K86" s="830"/>
      <c r="L86" s="211"/>
      <c r="M86" s="270"/>
      <c r="N86" s="853"/>
      <c r="O86" s="211"/>
      <c r="P86" s="830"/>
      <c r="Q86" s="264"/>
      <c r="R86" s="214"/>
      <c r="S86" s="902">
        <f>SUM(C86:Q86)</f>
        <v>0</v>
      </c>
      <c r="T86" s="57"/>
    </row>
    <row r="87" spans="1:20" s="99" customFormat="1" ht="13.5" thickBot="1">
      <c r="A87" s="8" t="s">
        <v>140</v>
      </c>
      <c r="B87" s="174" t="s">
        <v>76</v>
      </c>
      <c r="C87" s="38"/>
      <c r="D87" s="38"/>
      <c r="E87" s="38">
        <v>-1906.67</v>
      </c>
      <c r="F87" s="251"/>
      <c r="G87" s="38"/>
      <c r="H87" s="251"/>
      <c r="I87" s="261"/>
      <c r="J87" s="213"/>
      <c r="K87" s="684"/>
      <c r="L87" s="261"/>
      <c r="M87" s="271"/>
      <c r="N87" s="854"/>
      <c r="O87" s="251"/>
      <c r="P87" s="266">
        <v>1906.67</v>
      </c>
      <c r="Q87" s="260"/>
      <c r="R87" s="637"/>
      <c r="S87" s="940">
        <f>SUM(C87:R87)</f>
        <v>0</v>
      </c>
      <c r="T87" s="98"/>
    </row>
    <row r="88" spans="1:20" s="99" customFormat="1" ht="13.5" hidden="1" thickBot="1">
      <c r="A88" s="8"/>
      <c r="B88" s="174"/>
      <c r="C88" s="38"/>
      <c r="D88" s="38"/>
      <c r="E88" s="38"/>
      <c r="F88" s="251"/>
      <c r="G88" s="38"/>
      <c r="H88" s="251"/>
      <c r="I88" s="261"/>
      <c r="J88" s="213"/>
      <c r="K88" s="684"/>
      <c r="L88" s="261"/>
      <c r="M88" s="633"/>
      <c r="N88" s="854"/>
      <c r="O88" s="251"/>
      <c r="P88" s="266"/>
      <c r="Q88" s="260"/>
      <c r="R88" s="637"/>
      <c r="S88" s="833">
        <f>SUM(C88:R88)</f>
        <v>0</v>
      </c>
      <c r="T88" s="98"/>
    </row>
    <row r="89" spans="1:20" s="7" customFormat="1" ht="13.5" hidden="1" thickBot="1">
      <c r="A89" s="884"/>
      <c r="B89" s="177"/>
      <c r="C89" s="637"/>
      <c r="D89" s="637"/>
      <c r="E89" s="637"/>
      <c r="F89" s="771"/>
      <c r="G89" s="637"/>
      <c r="H89" s="771"/>
      <c r="I89" s="814"/>
      <c r="J89" s="690"/>
      <c r="K89" s="683"/>
      <c r="L89" s="885"/>
      <c r="M89" s="886"/>
      <c r="N89" s="887"/>
      <c r="O89" s="886"/>
      <c r="P89" s="888"/>
      <c r="Q89" s="1050"/>
      <c r="R89" s="678"/>
      <c r="S89" s="833">
        <f>SUM(C89:R89)</f>
        <v>0</v>
      </c>
      <c r="T89" s="57"/>
    </row>
    <row r="90" spans="1:20" ht="12.75">
      <c r="A90" s="890" t="s">
        <v>218</v>
      </c>
      <c r="B90" s="646" t="s">
        <v>76</v>
      </c>
      <c r="C90" s="200">
        <v>100</v>
      </c>
      <c r="D90" s="200">
        <f>300+300+100</f>
        <v>700</v>
      </c>
      <c r="E90" s="200">
        <f>100+300+600+300+100+25+200+700</f>
        <v>2325</v>
      </c>
      <c r="F90" s="271">
        <f>300+300+100</f>
        <v>700</v>
      </c>
      <c r="G90" s="200">
        <f>25</f>
        <v>25</v>
      </c>
      <c r="H90" s="271">
        <f>400+900+300+300+300</f>
        <v>2200</v>
      </c>
      <c r="I90" s="891"/>
      <c r="J90" s="200"/>
      <c r="K90" s="892"/>
      <c r="L90" s="893"/>
      <c r="M90" s="200"/>
      <c r="N90" s="863"/>
      <c r="O90" s="696"/>
      <c r="P90" s="761"/>
      <c r="Q90" s="863">
        <v>-6050</v>
      </c>
      <c r="R90" s="894"/>
      <c r="S90" s="833">
        <f>SUM(C90:R90)</f>
        <v>0</v>
      </c>
      <c r="T90" s="57">
        <f>Q90+Q91</f>
        <v>-8190</v>
      </c>
    </row>
    <row r="91" spans="1:20" ht="15" customHeight="1" thickBot="1">
      <c r="A91" s="895" t="s">
        <v>217</v>
      </c>
      <c r="B91" s="719" t="s">
        <v>76</v>
      </c>
      <c r="C91" s="701">
        <v>36</v>
      </c>
      <c r="D91" s="701">
        <f>106+106+36</f>
        <v>248</v>
      </c>
      <c r="E91" s="701">
        <f>36+106+212+106+36+9+71+247</f>
        <v>823</v>
      </c>
      <c r="F91" s="780">
        <f>106+106+36</f>
        <v>248</v>
      </c>
      <c r="G91" s="701">
        <f>9</f>
        <v>9</v>
      </c>
      <c r="H91" s="780">
        <f>141+317+106+106+106</f>
        <v>776</v>
      </c>
      <c r="I91" s="896"/>
      <c r="J91" s="701"/>
      <c r="K91" s="685"/>
      <c r="L91" s="897"/>
      <c r="M91" s="701"/>
      <c r="N91" s="864"/>
      <c r="O91" s="691"/>
      <c r="P91" s="928"/>
      <c r="Q91" s="856">
        <v>-2140</v>
      </c>
      <c r="R91" s="898"/>
      <c r="S91" s="902">
        <f>SUM(C91:R91)</f>
        <v>0</v>
      </c>
      <c r="T91" s="57"/>
    </row>
    <row r="92" spans="1:20" ht="15" customHeight="1">
      <c r="A92" s="899" t="s">
        <v>219</v>
      </c>
      <c r="B92" s="900" t="s">
        <v>72</v>
      </c>
      <c r="C92" s="200">
        <v>5500</v>
      </c>
      <c r="D92" s="200">
        <v>8000</v>
      </c>
      <c r="E92" s="200">
        <v>3000</v>
      </c>
      <c r="F92" s="271">
        <v>3000</v>
      </c>
      <c r="G92" s="200">
        <v>3000</v>
      </c>
      <c r="H92" s="271">
        <v>3000</v>
      </c>
      <c r="I92" s="891"/>
      <c r="J92" s="696">
        <v>3000</v>
      </c>
      <c r="K92" s="698"/>
      <c r="L92" s="698"/>
      <c r="M92" s="863"/>
      <c r="N92" s="200"/>
      <c r="O92" s="863">
        <v>12086</v>
      </c>
      <c r="P92" s="761"/>
      <c r="Q92" s="863">
        <v>-40586</v>
      </c>
      <c r="R92" s="901"/>
      <c r="S92" s="892">
        <f aca="true" t="shared" si="3" ref="S92:S105">SUM(C92:R92)</f>
        <v>0</v>
      </c>
      <c r="T92" s="57"/>
    </row>
    <row r="93" spans="1:20" ht="15" customHeight="1" thickBot="1">
      <c r="A93" s="909" t="s">
        <v>220</v>
      </c>
      <c r="B93" s="910" t="s">
        <v>226</v>
      </c>
      <c r="C93" s="637">
        <v>1936</v>
      </c>
      <c r="D93" s="637">
        <v>2816</v>
      </c>
      <c r="E93" s="637">
        <v>1056</v>
      </c>
      <c r="F93" s="771">
        <v>1056</v>
      </c>
      <c r="G93" s="637">
        <v>1056</v>
      </c>
      <c r="H93" s="771">
        <v>1056</v>
      </c>
      <c r="I93" s="814"/>
      <c r="J93" s="691">
        <v>1056</v>
      </c>
      <c r="K93" s="925"/>
      <c r="L93" s="925"/>
      <c r="M93" s="856"/>
      <c r="N93" s="637"/>
      <c r="O93" s="864">
        <v>3322.43</v>
      </c>
      <c r="P93" s="928"/>
      <c r="Q93" s="864">
        <v>-13354.43</v>
      </c>
      <c r="R93" s="640"/>
      <c r="S93" s="685">
        <f t="shared" si="3"/>
        <v>0</v>
      </c>
      <c r="T93" s="57"/>
    </row>
    <row r="94" spans="1:20" ht="15" customHeight="1" thickBot="1">
      <c r="A94" s="922" t="s">
        <v>221</v>
      </c>
      <c r="B94" s="646" t="s">
        <v>76</v>
      </c>
      <c r="C94" s="200">
        <v>2100</v>
      </c>
      <c r="D94" s="863">
        <v>950</v>
      </c>
      <c r="E94" s="200">
        <v>3300</v>
      </c>
      <c r="F94" s="924">
        <v>2300</v>
      </c>
      <c r="G94" s="200">
        <v>500</v>
      </c>
      <c r="H94" s="924">
        <v>1500</v>
      </c>
      <c r="I94" s="271"/>
      <c r="J94" s="863">
        <v>700</v>
      </c>
      <c r="K94" s="698"/>
      <c r="L94" s="698"/>
      <c r="M94" s="863"/>
      <c r="N94" s="200"/>
      <c r="O94" s="190">
        <v>1300</v>
      </c>
      <c r="P94" s="761"/>
      <c r="Q94" s="190">
        <v>-12650</v>
      </c>
      <c r="R94" s="901"/>
      <c r="S94" s="685">
        <f t="shared" si="3"/>
        <v>0</v>
      </c>
      <c r="T94" s="57"/>
    </row>
    <row r="95" spans="1:20" ht="15" customHeight="1" thickBot="1">
      <c r="A95" s="923" t="s">
        <v>222</v>
      </c>
      <c r="B95" s="719" t="s">
        <v>76</v>
      </c>
      <c r="C95" s="701">
        <v>740</v>
      </c>
      <c r="D95" s="856">
        <v>335</v>
      </c>
      <c r="E95" s="701">
        <v>1162</v>
      </c>
      <c r="F95" s="913">
        <v>810</v>
      </c>
      <c r="G95" s="701">
        <v>176</v>
      </c>
      <c r="H95" s="913">
        <v>528</v>
      </c>
      <c r="I95" s="780"/>
      <c r="J95" s="856">
        <v>247</v>
      </c>
      <c r="K95" s="926"/>
      <c r="L95" s="926"/>
      <c r="M95" s="856"/>
      <c r="N95" s="701"/>
      <c r="O95" s="856">
        <v>457.6</v>
      </c>
      <c r="P95" s="928"/>
      <c r="Q95" s="856">
        <v>-4455.6</v>
      </c>
      <c r="R95" s="898"/>
      <c r="S95" s="940">
        <f t="shared" si="3"/>
        <v>0</v>
      </c>
      <c r="T95" s="57"/>
    </row>
    <row r="96" spans="1:20" ht="15" customHeight="1">
      <c r="A96" s="890" t="s">
        <v>223</v>
      </c>
      <c r="B96" s="646" t="s">
        <v>76</v>
      </c>
      <c r="C96" s="200">
        <v>4800</v>
      </c>
      <c r="D96" s="200">
        <v>3300</v>
      </c>
      <c r="E96" s="200">
        <v>4300</v>
      </c>
      <c r="F96" s="271">
        <v>4200</v>
      </c>
      <c r="G96" s="200">
        <v>4400</v>
      </c>
      <c r="H96" s="271">
        <v>4400</v>
      </c>
      <c r="I96" s="891"/>
      <c r="J96" s="200">
        <v>4000</v>
      </c>
      <c r="K96" s="892"/>
      <c r="L96" s="893"/>
      <c r="M96" s="200">
        <v>0</v>
      </c>
      <c r="N96" s="200"/>
      <c r="O96" s="863">
        <f>1000+1000</f>
        <v>2000</v>
      </c>
      <c r="P96" s="697">
        <v>-31400</v>
      </c>
      <c r="R96" s="901"/>
      <c r="S96" s="892">
        <f t="shared" si="3"/>
        <v>0</v>
      </c>
      <c r="T96" s="57"/>
    </row>
    <row r="97" spans="1:20" ht="15" customHeight="1" thickBot="1">
      <c r="A97" s="956" t="s">
        <v>224</v>
      </c>
      <c r="B97" s="719" t="s">
        <v>76</v>
      </c>
      <c r="C97" s="145">
        <v>1690</v>
      </c>
      <c r="D97" s="145">
        <v>1162</v>
      </c>
      <c r="E97" s="145">
        <v>1514</v>
      </c>
      <c r="F97" s="904">
        <v>1479</v>
      </c>
      <c r="G97" s="145">
        <v>1549</v>
      </c>
      <c r="H97" s="904">
        <v>1549</v>
      </c>
      <c r="I97" s="905"/>
      <c r="J97" s="145">
        <v>1408</v>
      </c>
      <c r="K97" s="906"/>
      <c r="L97" s="907"/>
      <c r="M97" s="145"/>
      <c r="N97" s="145"/>
      <c r="O97" s="908">
        <f>352+352</f>
        <v>704</v>
      </c>
      <c r="P97" s="927">
        <v>-11055</v>
      </c>
      <c r="R97" s="1073"/>
      <c r="S97" s="685">
        <f t="shared" si="3"/>
        <v>0</v>
      </c>
      <c r="T97" s="57"/>
    </row>
    <row r="98" spans="1:20" ht="15" customHeight="1">
      <c r="A98" s="785" t="s">
        <v>194</v>
      </c>
      <c r="B98" s="789" t="s">
        <v>198</v>
      </c>
      <c r="C98" s="200"/>
      <c r="D98" s="200"/>
      <c r="E98" s="200"/>
      <c r="F98" s="271"/>
      <c r="G98" s="200"/>
      <c r="H98" s="271"/>
      <c r="I98" s="891">
        <v>67089</v>
      </c>
      <c r="J98" s="200"/>
      <c r="K98" s="892"/>
      <c r="L98" s="893"/>
      <c r="M98" s="200"/>
      <c r="N98" s="200">
        <v>-67089</v>
      </c>
      <c r="O98" s="863"/>
      <c r="P98" s="761"/>
      <c r="Q98" s="863"/>
      <c r="R98" s="901"/>
      <c r="S98" s="833">
        <f t="shared" si="3"/>
        <v>0</v>
      </c>
      <c r="T98" s="57"/>
    </row>
    <row r="99" spans="1:20" ht="15" customHeight="1">
      <c r="A99" s="786" t="s">
        <v>195</v>
      </c>
      <c r="B99" s="787" t="s">
        <v>199</v>
      </c>
      <c r="C99" s="38"/>
      <c r="D99" s="38"/>
      <c r="E99" s="38"/>
      <c r="F99" s="251"/>
      <c r="G99" s="38"/>
      <c r="H99" s="251"/>
      <c r="I99" s="261">
        <v>23615</v>
      </c>
      <c r="J99" s="38"/>
      <c r="K99" s="684"/>
      <c r="L99" s="263"/>
      <c r="M99" s="38"/>
      <c r="N99" s="38">
        <v>-23615</v>
      </c>
      <c r="O99" s="132"/>
      <c r="P99" s="272"/>
      <c r="Q99" s="132"/>
      <c r="R99" s="212"/>
      <c r="S99" s="833">
        <f t="shared" si="3"/>
        <v>0</v>
      </c>
      <c r="T99" s="57"/>
    </row>
    <row r="100" spans="1:20" ht="15" customHeight="1">
      <c r="A100" s="786" t="s">
        <v>196</v>
      </c>
      <c r="B100" s="787" t="s">
        <v>198</v>
      </c>
      <c r="C100" s="38"/>
      <c r="D100" s="38"/>
      <c r="E100" s="38"/>
      <c r="F100" s="251"/>
      <c r="G100" s="38"/>
      <c r="H100" s="251"/>
      <c r="I100" s="261">
        <v>560</v>
      </c>
      <c r="J100" s="38"/>
      <c r="K100" s="684"/>
      <c r="L100" s="263"/>
      <c r="M100" s="38"/>
      <c r="N100" s="38">
        <v>-560</v>
      </c>
      <c r="O100" s="132"/>
      <c r="P100" s="272"/>
      <c r="Q100" s="132"/>
      <c r="R100" s="212"/>
      <c r="S100" s="833">
        <f t="shared" si="3"/>
        <v>0</v>
      </c>
      <c r="T100" s="57"/>
    </row>
    <row r="101" spans="1:20" ht="15" customHeight="1" thickBot="1">
      <c r="A101" s="911" t="s">
        <v>197</v>
      </c>
      <c r="B101" s="912" t="s">
        <v>76</v>
      </c>
      <c r="C101" s="701"/>
      <c r="D101" s="701"/>
      <c r="E101" s="701"/>
      <c r="F101" s="780"/>
      <c r="G101" s="701"/>
      <c r="H101" s="780"/>
      <c r="I101" s="896">
        <v>57103.49</v>
      </c>
      <c r="J101" s="701"/>
      <c r="K101" s="685"/>
      <c r="L101" s="897"/>
      <c r="M101" s="701"/>
      <c r="N101" s="701">
        <v>-57103.49</v>
      </c>
      <c r="O101" s="864"/>
      <c r="P101" s="928"/>
      <c r="Q101" s="864"/>
      <c r="R101" s="898"/>
      <c r="S101" s="906">
        <f t="shared" si="3"/>
        <v>0</v>
      </c>
      <c r="T101" s="57"/>
    </row>
    <row r="102" spans="1:20" ht="15" customHeight="1" thickBot="1">
      <c r="A102" s="929" t="s">
        <v>155</v>
      </c>
      <c r="B102" s="930" t="s">
        <v>80</v>
      </c>
      <c r="C102" s="77"/>
      <c r="D102" s="675">
        <f>21527+824+800+960+960</f>
        <v>25071</v>
      </c>
      <c r="E102" s="77">
        <v>4698</v>
      </c>
      <c r="F102" s="931"/>
      <c r="G102" s="77"/>
      <c r="H102" s="931">
        <f>10574+550+700+550+550</f>
        <v>12924</v>
      </c>
      <c r="I102" s="932"/>
      <c r="J102" s="77"/>
      <c r="K102" s="902"/>
      <c r="L102" s="933"/>
      <c r="M102" s="77"/>
      <c r="N102" s="77"/>
      <c r="O102" s="903"/>
      <c r="P102" s="77">
        <f>13933+550+550+500+500+500</f>
        <v>16533</v>
      </c>
      <c r="Q102" s="1051">
        <v>0</v>
      </c>
      <c r="R102" s="934"/>
      <c r="S102" s="902">
        <f t="shared" si="3"/>
        <v>59226</v>
      </c>
      <c r="T102" s="57"/>
    </row>
    <row r="103" spans="1:20" ht="15" customHeight="1" thickBot="1">
      <c r="A103" s="878" t="s">
        <v>207</v>
      </c>
      <c r="B103" s="935" t="s">
        <v>198</v>
      </c>
      <c r="C103" s="936"/>
      <c r="D103" s="937"/>
      <c r="E103" s="936"/>
      <c r="F103" s="938"/>
      <c r="G103" s="936">
        <v>805</v>
      </c>
      <c r="H103" s="938"/>
      <c r="I103" s="939"/>
      <c r="J103" s="936"/>
      <c r="K103" s="940"/>
      <c r="L103" s="941"/>
      <c r="M103" s="936"/>
      <c r="N103" s="936"/>
      <c r="O103" s="942"/>
      <c r="P103" s="936">
        <v>-805</v>
      </c>
      <c r="Q103" s="1052"/>
      <c r="R103" s="943"/>
      <c r="S103" s="940">
        <f t="shared" si="3"/>
        <v>0</v>
      </c>
      <c r="T103" s="57"/>
    </row>
    <row r="104" spans="1:20" ht="15" customHeight="1">
      <c r="A104" s="877" t="s">
        <v>125</v>
      </c>
      <c r="B104" s="641" t="s">
        <v>76</v>
      </c>
      <c r="C104" s="41">
        <v>4000</v>
      </c>
      <c r="D104" s="41"/>
      <c r="E104" s="41"/>
      <c r="F104" s="633">
        <v>40000</v>
      </c>
      <c r="G104" s="41"/>
      <c r="H104" s="633"/>
      <c r="I104" s="644"/>
      <c r="J104" s="41">
        <v>16000</v>
      </c>
      <c r="K104" s="833"/>
      <c r="L104" s="889"/>
      <c r="M104" s="41">
        <v>4000</v>
      </c>
      <c r="N104" s="190"/>
      <c r="O104" s="41"/>
      <c r="P104" s="189"/>
      <c r="Q104" s="1047"/>
      <c r="R104" s="259"/>
      <c r="S104" s="833">
        <f t="shared" si="3"/>
        <v>64000</v>
      </c>
      <c r="T104" s="57"/>
    </row>
    <row r="105" spans="1:20" ht="15" customHeight="1" thickBot="1">
      <c r="A105" s="636" t="s">
        <v>127</v>
      </c>
      <c r="B105" s="177" t="s">
        <v>76</v>
      </c>
      <c r="C105" s="637">
        <v>43451</v>
      </c>
      <c r="D105" s="637">
        <v>22091</v>
      </c>
      <c r="E105" s="637">
        <v>58875</v>
      </c>
      <c r="F105" s="771">
        <v>102000</v>
      </c>
      <c r="G105" s="637"/>
      <c r="H105" s="771">
        <v>45583</v>
      </c>
      <c r="I105" s="814"/>
      <c r="J105" s="637"/>
      <c r="K105" s="683"/>
      <c r="L105" s="638"/>
      <c r="M105" s="637"/>
      <c r="N105" s="856"/>
      <c r="O105" s="637"/>
      <c r="P105" s="639"/>
      <c r="Q105" s="957"/>
      <c r="R105" s="640"/>
      <c r="S105" s="833">
        <f t="shared" si="3"/>
        <v>272000</v>
      </c>
      <c r="T105" s="57"/>
    </row>
    <row r="106" spans="1:20" ht="15" customHeight="1">
      <c r="A106" s="635" t="s">
        <v>166</v>
      </c>
      <c r="B106" s="646" t="s">
        <v>76</v>
      </c>
      <c r="C106" s="647">
        <v>11000</v>
      </c>
      <c r="D106" s="647">
        <f>4000+1200</f>
        <v>5200</v>
      </c>
      <c r="E106" s="647">
        <v>11000</v>
      </c>
      <c r="F106" s="772">
        <f>13000-1200</f>
        <v>11800</v>
      </c>
      <c r="G106" s="647">
        <v>3000</v>
      </c>
      <c r="H106" s="772">
        <v>6000</v>
      </c>
      <c r="I106" s="815"/>
      <c r="J106" s="647">
        <v>2000</v>
      </c>
      <c r="K106" s="648"/>
      <c r="L106" s="944"/>
      <c r="M106" s="647">
        <v>1000</v>
      </c>
      <c r="N106" s="857"/>
      <c r="O106" s="647"/>
      <c r="P106" s="649"/>
      <c r="Q106" s="1053">
        <v>-51000</v>
      </c>
      <c r="R106" s="650"/>
      <c r="S106" s="1067">
        <f aca="true" t="shared" si="4" ref="S106:S113">SUM(C106:R106)</f>
        <v>0</v>
      </c>
      <c r="T106" s="57">
        <f>SUM(Q106:Q107)</f>
        <v>-96500</v>
      </c>
    </row>
    <row r="107" spans="1:20" ht="15" customHeight="1" thickBot="1">
      <c r="A107" s="636" t="s">
        <v>167</v>
      </c>
      <c r="B107" s="177" t="s">
        <v>76</v>
      </c>
      <c r="C107" s="652">
        <v>7000</v>
      </c>
      <c r="D107" s="652">
        <f>7000</f>
        <v>7000</v>
      </c>
      <c r="E107" s="652">
        <f>7000-2000</f>
        <v>5000</v>
      </c>
      <c r="F107" s="773">
        <f>24500+2000</f>
        <v>26500</v>
      </c>
      <c r="G107" s="652"/>
      <c r="H107" s="773"/>
      <c r="I107" s="816"/>
      <c r="J107" s="652"/>
      <c r="K107" s="653"/>
      <c r="L107" s="945"/>
      <c r="M107" s="651"/>
      <c r="N107" s="858"/>
      <c r="O107" s="652"/>
      <c r="P107" s="654"/>
      <c r="Q107" s="1054">
        <v>-45500</v>
      </c>
      <c r="R107" s="655"/>
      <c r="S107" s="1068">
        <f t="shared" si="4"/>
        <v>0</v>
      </c>
      <c r="T107" s="57"/>
    </row>
    <row r="108" spans="1:20" ht="15">
      <c r="A108" s="656" t="s">
        <v>171</v>
      </c>
      <c r="B108" s="657" t="s">
        <v>72</v>
      </c>
      <c r="C108" s="658"/>
      <c r="D108" s="658"/>
      <c r="E108" s="859"/>
      <c r="F108" s="772"/>
      <c r="G108" s="647"/>
      <c r="H108" s="798"/>
      <c r="I108" s="796"/>
      <c r="J108" s="647"/>
      <c r="K108" s="648"/>
      <c r="L108" s="831"/>
      <c r="M108" s="658"/>
      <c r="N108" s="859"/>
      <c r="O108" s="647"/>
      <c r="P108" s="871">
        <v>-17990</v>
      </c>
      <c r="Q108" s="679"/>
      <c r="R108" s="650">
        <v>17990</v>
      </c>
      <c r="S108" s="1067">
        <f t="shared" si="4"/>
        <v>0</v>
      </c>
      <c r="T108" s="57">
        <f>R108+R109</f>
        <v>24271</v>
      </c>
    </row>
    <row r="109" spans="1:20" ht="15.75" thickBot="1">
      <c r="A109" s="659" t="s">
        <v>172</v>
      </c>
      <c r="B109" s="660" t="s">
        <v>72</v>
      </c>
      <c r="C109" s="661"/>
      <c r="D109" s="661"/>
      <c r="E109" s="860"/>
      <c r="F109" s="947"/>
      <c r="G109" s="801"/>
      <c r="H109" s="799"/>
      <c r="I109" s="797"/>
      <c r="J109" s="801"/>
      <c r="K109" s="946"/>
      <c r="L109" s="832"/>
      <c r="M109" s="661"/>
      <c r="N109" s="860"/>
      <c r="O109" s="801"/>
      <c r="P109" s="872">
        <v>-6281</v>
      </c>
      <c r="Q109" s="680"/>
      <c r="R109" s="1074">
        <v>6281</v>
      </c>
      <c r="S109" s="1069">
        <f t="shared" si="4"/>
        <v>0</v>
      </c>
      <c r="T109" s="57"/>
    </row>
    <row r="110" spans="1:20" ht="15">
      <c r="A110" s="656" t="s">
        <v>173</v>
      </c>
      <c r="B110" s="949" t="s">
        <v>72</v>
      </c>
      <c r="C110" s="647"/>
      <c r="D110" s="857"/>
      <c r="E110" s="647"/>
      <c r="F110" s="772"/>
      <c r="G110" s="647"/>
      <c r="H110" s="772"/>
      <c r="I110" s="952"/>
      <c r="J110" s="647"/>
      <c r="K110" s="648"/>
      <c r="L110" s="944"/>
      <c r="M110" s="647"/>
      <c r="N110" s="857"/>
      <c r="O110" s="647"/>
      <c r="P110" s="873">
        <v>-4234</v>
      </c>
      <c r="Q110" s="679"/>
      <c r="R110" s="650">
        <v>4234</v>
      </c>
      <c r="S110" s="1067">
        <f t="shared" si="4"/>
        <v>0</v>
      </c>
      <c r="T110" s="57">
        <f>P110+P111</f>
        <v>-5711</v>
      </c>
    </row>
    <row r="111" spans="1:20" ht="15.75" thickBot="1">
      <c r="A111" s="659" t="s">
        <v>174</v>
      </c>
      <c r="B111" s="950" t="s">
        <v>72</v>
      </c>
      <c r="C111" s="801"/>
      <c r="D111" s="951"/>
      <c r="E111" s="801"/>
      <c r="F111" s="947"/>
      <c r="G111" s="801"/>
      <c r="H111" s="947"/>
      <c r="I111" s="953"/>
      <c r="J111" s="801"/>
      <c r="K111" s="946"/>
      <c r="L111" s="955"/>
      <c r="M111" s="801"/>
      <c r="N111" s="951"/>
      <c r="O111" s="801"/>
      <c r="P111" s="874">
        <v>-1477</v>
      </c>
      <c r="Q111" s="680"/>
      <c r="R111" s="1074">
        <v>1477</v>
      </c>
      <c r="S111" s="1069">
        <f t="shared" si="4"/>
        <v>0</v>
      </c>
      <c r="T111" s="57"/>
    </row>
    <row r="112" spans="1:20" ht="15.75" thickBot="1">
      <c r="A112" s="791" t="s">
        <v>206</v>
      </c>
      <c r="B112" s="792"/>
      <c r="C112" s="802"/>
      <c r="D112" s="793"/>
      <c r="E112" s="802"/>
      <c r="F112" s="948"/>
      <c r="G112" s="802"/>
      <c r="H112" s="948"/>
      <c r="I112" s="794"/>
      <c r="J112" s="802">
        <v>3744</v>
      </c>
      <c r="K112" s="954"/>
      <c r="L112" s="795"/>
      <c r="M112" s="802"/>
      <c r="N112" s="793"/>
      <c r="O112" s="802"/>
      <c r="P112" s="793"/>
      <c r="Q112" s="1055">
        <v>-3744</v>
      </c>
      <c r="R112" s="876"/>
      <c r="S112" s="1069">
        <f t="shared" si="4"/>
        <v>0</v>
      </c>
      <c r="T112" s="57"/>
    </row>
    <row r="113" spans="1:20" s="99" customFormat="1" ht="12.75">
      <c r="A113" s="634" t="s">
        <v>147</v>
      </c>
      <c r="B113" s="641" t="s">
        <v>72</v>
      </c>
      <c r="C113" s="41"/>
      <c r="D113" s="41"/>
      <c r="E113" s="642">
        <v>5768</v>
      </c>
      <c r="F113" s="644"/>
      <c r="G113" s="41"/>
      <c r="H113" s="645"/>
      <c r="I113" s="644"/>
      <c r="J113" s="643">
        <v>-5768</v>
      </c>
      <c r="K113" s="833"/>
      <c r="L113" s="644"/>
      <c r="M113" s="633"/>
      <c r="N113" s="861"/>
      <c r="O113" s="633"/>
      <c r="P113" s="645"/>
      <c r="Q113" s="188"/>
      <c r="R113" s="41"/>
      <c r="S113" s="833">
        <f t="shared" si="4"/>
        <v>0</v>
      </c>
      <c r="T113" s="98"/>
    </row>
    <row r="114" spans="1:20" s="7" customFormat="1" ht="12.75">
      <c r="A114" s="537" t="s">
        <v>146</v>
      </c>
      <c r="B114" s="174" t="s">
        <v>72</v>
      </c>
      <c r="C114" s="38"/>
      <c r="D114" s="38"/>
      <c r="E114" s="535">
        <v>2030</v>
      </c>
      <c r="F114" s="261"/>
      <c r="G114" s="38"/>
      <c r="H114" s="266"/>
      <c r="I114" s="261"/>
      <c r="J114" s="534">
        <v>-2030</v>
      </c>
      <c r="K114" s="684"/>
      <c r="L114" s="262"/>
      <c r="M114" s="117"/>
      <c r="N114" s="855"/>
      <c r="O114" s="117"/>
      <c r="P114" s="267"/>
      <c r="Q114" s="1056"/>
      <c r="R114" s="678"/>
      <c r="S114" s="833">
        <f aca="true" t="shared" si="5" ref="S114:S191">SUM(C114:R114)</f>
        <v>0</v>
      </c>
      <c r="T114" s="57"/>
    </row>
    <row r="115" spans="1:20" ht="13.5" thickBot="1">
      <c r="A115" s="537" t="s">
        <v>145</v>
      </c>
      <c r="B115" s="174" t="s">
        <v>72</v>
      </c>
      <c r="C115" s="535">
        <v>38882</v>
      </c>
      <c r="D115" s="38"/>
      <c r="E115" s="38"/>
      <c r="F115" s="261"/>
      <c r="G115" s="803"/>
      <c r="H115" s="800"/>
      <c r="I115" s="813"/>
      <c r="J115" s="536">
        <v>-38882</v>
      </c>
      <c r="K115" s="830"/>
      <c r="L115" s="264"/>
      <c r="M115" s="118"/>
      <c r="N115" s="862"/>
      <c r="O115" s="118"/>
      <c r="P115" s="268"/>
      <c r="Q115" s="1042"/>
      <c r="R115" s="212"/>
      <c r="S115" s="833">
        <f t="shared" si="5"/>
        <v>0</v>
      </c>
      <c r="T115" s="57"/>
    </row>
    <row r="116" spans="1:20" ht="12.75" customHeight="1">
      <c r="A116" s="537" t="s">
        <v>148</v>
      </c>
      <c r="B116" s="174" t="s">
        <v>72</v>
      </c>
      <c r="C116" s="535">
        <v>13686</v>
      </c>
      <c r="D116" s="38"/>
      <c r="E116" s="38"/>
      <c r="F116" s="251"/>
      <c r="G116" s="41"/>
      <c r="H116" s="251"/>
      <c r="I116" s="261"/>
      <c r="J116" s="534">
        <v>-13686</v>
      </c>
      <c r="K116" s="39"/>
      <c r="L116" s="260"/>
      <c r="M116" s="38"/>
      <c r="N116" s="132"/>
      <c r="O116" s="38"/>
      <c r="P116" s="39"/>
      <c r="Q116" s="260"/>
      <c r="R116" s="38"/>
      <c r="S116" s="833">
        <f t="shared" si="5"/>
        <v>0</v>
      </c>
      <c r="T116" s="57"/>
    </row>
    <row r="117" spans="1:20" ht="12.75" customHeight="1">
      <c r="A117" s="537" t="s">
        <v>149</v>
      </c>
      <c r="B117" s="174" t="s">
        <v>72</v>
      </c>
      <c r="C117" s="535">
        <v>-2442</v>
      </c>
      <c r="D117" s="38"/>
      <c r="E117" s="535">
        <v>2442</v>
      </c>
      <c r="F117" s="251"/>
      <c r="G117" s="38"/>
      <c r="H117" s="251"/>
      <c r="I117" s="261"/>
      <c r="J117" s="213"/>
      <c r="K117" s="684"/>
      <c r="L117" s="260"/>
      <c r="M117" s="272"/>
      <c r="N117" s="132"/>
      <c r="O117" s="38"/>
      <c r="P117" s="684"/>
      <c r="Q117" s="1042"/>
      <c r="R117" s="212"/>
      <c r="S117" s="833">
        <f t="shared" si="5"/>
        <v>0</v>
      </c>
      <c r="T117" s="57"/>
    </row>
    <row r="118" spans="1:20" ht="12.75">
      <c r="A118" s="537" t="s">
        <v>150</v>
      </c>
      <c r="B118" s="174" t="s">
        <v>72</v>
      </c>
      <c r="C118" s="535">
        <v>-860</v>
      </c>
      <c r="D118" s="38"/>
      <c r="E118" s="535">
        <v>860</v>
      </c>
      <c r="F118" s="251"/>
      <c r="G118" s="38"/>
      <c r="H118" s="251"/>
      <c r="I118" s="261"/>
      <c r="J118" s="213"/>
      <c r="K118" s="684"/>
      <c r="L118" s="260"/>
      <c r="M118" s="272"/>
      <c r="N118" s="132"/>
      <c r="O118" s="38"/>
      <c r="P118" s="875"/>
      <c r="Q118" s="1042"/>
      <c r="R118" s="212"/>
      <c r="S118" s="833">
        <f t="shared" si="5"/>
        <v>0</v>
      </c>
      <c r="T118" s="57"/>
    </row>
    <row r="119" spans="1:20" ht="12.75">
      <c r="A119" s="537" t="s">
        <v>151</v>
      </c>
      <c r="B119" s="174" t="s">
        <v>72</v>
      </c>
      <c r="C119" s="38"/>
      <c r="D119" s="535">
        <v>7927</v>
      </c>
      <c r="E119" s="38"/>
      <c r="F119" s="251"/>
      <c r="G119" s="38"/>
      <c r="H119" s="251"/>
      <c r="I119" s="261"/>
      <c r="J119" s="534">
        <v>-7927</v>
      </c>
      <c r="K119" s="684"/>
      <c r="L119" s="260"/>
      <c r="M119" s="272"/>
      <c r="N119" s="132"/>
      <c r="O119" s="38"/>
      <c r="P119" s="875"/>
      <c r="Q119" s="1042"/>
      <c r="R119" s="212"/>
      <c r="S119" s="833">
        <f t="shared" si="5"/>
        <v>0</v>
      </c>
      <c r="T119" s="57"/>
    </row>
    <row r="120" spans="1:20" ht="12.75" customHeight="1">
      <c r="A120" s="537" t="s">
        <v>152</v>
      </c>
      <c r="B120" s="174" t="s">
        <v>72</v>
      </c>
      <c r="C120" s="38"/>
      <c r="D120" s="535">
        <v>2790</v>
      </c>
      <c r="E120" s="38"/>
      <c r="F120" s="251"/>
      <c r="G120" s="38"/>
      <c r="H120" s="251"/>
      <c r="I120" s="261"/>
      <c r="J120" s="534">
        <v>-2790</v>
      </c>
      <c r="K120" s="684"/>
      <c r="L120" s="260"/>
      <c r="M120" s="272"/>
      <c r="N120" s="132"/>
      <c r="O120" s="38"/>
      <c r="P120" s="875"/>
      <c r="Q120" s="1042"/>
      <c r="R120" s="212"/>
      <c r="S120" s="833">
        <f t="shared" si="5"/>
        <v>0</v>
      </c>
      <c r="T120" s="57"/>
    </row>
    <row r="121" spans="1:20" ht="12.75" customHeight="1">
      <c r="A121" s="537" t="s">
        <v>153</v>
      </c>
      <c r="B121" s="174" t="s">
        <v>72</v>
      </c>
      <c r="C121" s="535">
        <v>-658.65</v>
      </c>
      <c r="D121" s="535">
        <v>658.65</v>
      </c>
      <c r="E121" s="38"/>
      <c r="F121" s="251"/>
      <c r="G121" s="38"/>
      <c r="H121" s="251"/>
      <c r="I121" s="261"/>
      <c r="J121" s="213"/>
      <c r="K121" s="684"/>
      <c r="L121" s="260"/>
      <c r="M121" s="272"/>
      <c r="N121" s="132"/>
      <c r="O121" s="38"/>
      <c r="P121" s="875"/>
      <c r="Q121" s="1042"/>
      <c r="R121" s="212"/>
      <c r="S121" s="833">
        <f t="shared" si="5"/>
        <v>0</v>
      </c>
      <c r="T121" s="57"/>
    </row>
    <row r="122" spans="1:20" ht="13.5" customHeight="1">
      <c r="A122" s="537" t="s">
        <v>154</v>
      </c>
      <c r="B122" s="174" t="s">
        <v>72</v>
      </c>
      <c r="C122" s="535">
        <v>-231.85</v>
      </c>
      <c r="D122" s="535">
        <v>231.85</v>
      </c>
      <c r="E122" s="38"/>
      <c r="F122" s="251"/>
      <c r="G122" s="38"/>
      <c r="H122" s="251"/>
      <c r="I122" s="261"/>
      <c r="J122" s="213"/>
      <c r="K122" s="684"/>
      <c r="L122" s="263"/>
      <c r="M122" s="38"/>
      <c r="N122" s="132"/>
      <c r="O122" s="65"/>
      <c r="P122" s="684"/>
      <c r="Q122" s="264"/>
      <c r="R122" s="211"/>
      <c r="S122" s="833">
        <f t="shared" si="5"/>
        <v>0</v>
      </c>
      <c r="T122" s="57"/>
    </row>
    <row r="123" spans="1:20" ht="15.75" customHeight="1">
      <c r="A123" s="537" t="s">
        <v>153</v>
      </c>
      <c r="B123" s="174" t="s">
        <v>72</v>
      </c>
      <c r="C123" s="38"/>
      <c r="D123" s="38"/>
      <c r="E123" s="38"/>
      <c r="F123" s="775">
        <v>2177</v>
      </c>
      <c r="G123" s="535">
        <v>-2177</v>
      </c>
      <c r="H123" s="213"/>
      <c r="I123" s="817"/>
      <c r="J123" s="38"/>
      <c r="K123" s="834"/>
      <c r="L123" s="260"/>
      <c r="M123" s="38"/>
      <c r="N123" s="132"/>
      <c r="O123" s="38"/>
      <c r="P123" s="39"/>
      <c r="Q123" s="260"/>
      <c r="R123" s="38"/>
      <c r="S123" s="833">
        <f t="shared" si="5"/>
        <v>0</v>
      </c>
      <c r="T123" s="57"/>
    </row>
    <row r="124" spans="1:20" ht="15.75" customHeight="1" thickBot="1">
      <c r="A124" s="714" t="s">
        <v>154</v>
      </c>
      <c r="B124" s="177" t="s">
        <v>72</v>
      </c>
      <c r="C124" s="637"/>
      <c r="D124" s="637"/>
      <c r="E124" s="637"/>
      <c r="F124" s="776">
        <v>1183</v>
      </c>
      <c r="G124" s="689">
        <v>-1183</v>
      </c>
      <c r="H124" s="690"/>
      <c r="I124" s="818"/>
      <c r="J124" s="637"/>
      <c r="K124" s="835"/>
      <c r="L124" s="691"/>
      <c r="M124" s="637"/>
      <c r="N124" s="856"/>
      <c r="O124" s="637"/>
      <c r="P124" s="639"/>
      <c r="Q124" s="691"/>
      <c r="R124" s="637"/>
      <c r="S124" s="902">
        <f t="shared" si="5"/>
        <v>0</v>
      </c>
      <c r="T124" s="57"/>
    </row>
    <row r="125" spans="1:20" ht="15.75" customHeight="1">
      <c r="A125" s="715" t="s">
        <v>164</v>
      </c>
      <c r="B125" s="646" t="s">
        <v>72</v>
      </c>
      <c r="C125" s="717">
        <v>5581</v>
      </c>
      <c r="D125" s="200"/>
      <c r="E125" s="200"/>
      <c r="F125" s="271"/>
      <c r="G125" s="200"/>
      <c r="H125" s="695"/>
      <c r="I125" s="819"/>
      <c r="J125" s="200"/>
      <c r="K125" s="836"/>
      <c r="L125" s="696"/>
      <c r="M125" s="716">
        <v>-5581</v>
      </c>
      <c r="N125" s="863"/>
      <c r="O125" s="200"/>
      <c r="P125" s="697"/>
      <c r="Q125" s="696"/>
      <c r="R125" s="200"/>
      <c r="S125" s="892">
        <f t="shared" si="5"/>
        <v>0</v>
      </c>
      <c r="T125" s="57"/>
    </row>
    <row r="126" spans="1:20" ht="15.75" customHeight="1">
      <c r="A126" s="537" t="s">
        <v>165</v>
      </c>
      <c r="B126" s="174" t="s">
        <v>72</v>
      </c>
      <c r="C126" s="712">
        <v>1965</v>
      </c>
      <c r="D126" s="38"/>
      <c r="E126" s="38"/>
      <c r="F126" s="251"/>
      <c r="G126" s="38"/>
      <c r="H126" s="213"/>
      <c r="I126" s="817"/>
      <c r="J126" s="38"/>
      <c r="K126" s="834"/>
      <c r="L126" s="260"/>
      <c r="M126" s="713">
        <v>-1965</v>
      </c>
      <c r="N126" s="132"/>
      <c r="O126" s="38"/>
      <c r="P126" s="39"/>
      <c r="Q126" s="260"/>
      <c r="R126" s="38"/>
      <c r="S126" s="833">
        <f t="shared" si="5"/>
        <v>0</v>
      </c>
      <c r="T126" s="57"/>
    </row>
    <row r="127" spans="1:20" ht="15.75" customHeight="1">
      <c r="A127" s="537" t="s">
        <v>164</v>
      </c>
      <c r="B127" s="174" t="s">
        <v>72</v>
      </c>
      <c r="C127" s="712">
        <v>22817</v>
      </c>
      <c r="D127" s="38"/>
      <c r="E127" s="38"/>
      <c r="F127" s="251"/>
      <c r="G127" s="713">
        <v>-22817</v>
      </c>
      <c r="H127" s="213"/>
      <c r="I127" s="817"/>
      <c r="J127" s="38"/>
      <c r="K127" s="834"/>
      <c r="L127" s="260"/>
      <c r="M127" s="38"/>
      <c r="N127" s="132"/>
      <c r="O127" s="38"/>
      <c r="P127" s="39"/>
      <c r="Q127" s="260"/>
      <c r="R127" s="38"/>
      <c r="S127" s="833">
        <f t="shared" si="5"/>
        <v>0</v>
      </c>
      <c r="T127" s="57"/>
    </row>
    <row r="128" spans="1:20" ht="16.5" customHeight="1">
      <c r="A128" s="537" t="s">
        <v>165</v>
      </c>
      <c r="B128" s="174" t="s">
        <v>72</v>
      </c>
      <c r="C128" s="712">
        <v>8032</v>
      </c>
      <c r="D128" s="38"/>
      <c r="E128" s="38"/>
      <c r="F128" s="251"/>
      <c r="G128" s="713">
        <v>-8032</v>
      </c>
      <c r="H128" s="213"/>
      <c r="I128" s="817"/>
      <c r="J128" s="38"/>
      <c r="K128" s="834"/>
      <c r="L128" s="260"/>
      <c r="M128" s="38"/>
      <c r="N128" s="132"/>
      <c r="O128" s="38"/>
      <c r="P128" s="39"/>
      <c r="Q128" s="260"/>
      <c r="R128" s="38"/>
      <c r="S128" s="833">
        <f t="shared" si="5"/>
        <v>0</v>
      </c>
      <c r="T128" s="57"/>
    </row>
    <row r="129" spans="1:20" ht="15.75" customHeight="1">
      <c r="A129" s="537" t="s">
        <v>164</v>
      </c>
      <c r="B129" s="174" t="s">
        <v>72</v>
      </c>
      <c r="C129" s="712">
        <v>1125</v>
      </c>
      <c r="D129" s="38"/>
      <c r="E129" s="38"/>
      <c r="F129" s="777">
        <v>-1125</v>
      </c>
      <c r="G129" s="38"/>
      <c r="H129" s="213"/>
      <c r="I129" s="817"/>
      <c r="J129" s="38"/>
      <c r="K129" s="834"/>
      <c r="L129" s="260"/>
      <c r="M129" s="38"/>
      <c r="N129" s="132"/>
      <c r="O129" s="38"/>
      <c r="P129" s="39"/>
      <c r="Q129" s="260"/>
      <c r="R129" s="38"/>
      <c r="S129" s="833">
        <f t="shared" si="5"/>
        <v>0</v>
      </c>
      <c r="T129" s="57"/>
    </row>
    <row r="130" spans="1:20" ht="15.75" customHeight="1" thickBot="1">
      <c r="A130" s="718" t="s">
        <v>165</v>
      </c>
      <c r="B130" s="719" t="s">
        <v>72</v>
      </c>
      <c r="C130" s="720">
        <v>396</v>
      </c>
      <c r="D130" s="701"/>
      <c r="E130" s="701"/>
      <c r="F130" s="778">
        <v>-396</v>
      </c>
      <c r="G130" s="701"/>
      <c r="H130" s="702"/>
      <c r="I130" s="765"/>
      <c r="J130" s="701"/>
      <c r="K130" s="837"/>
      <c r="L130" s="703"/>
      <c r="M130" s="701"/>
      <c r="N130" s="864"/>
      <c r="O130" s="701"/>
      <c r="P130" s="704"/>
      <c r="Q130" s="703"/>
      <c r="R130" s="701"/>
      <c r="S130" s="906">
        <f t="shared" si="5"/>
        <v>0</v>
      </c>
      <c r="T130" s="57"/>
    </row>
    <row r="131" spans="1:20" ht="15.75" customHeight="1">
      <c r="A131" s="788" t="s">
        <v>202</v>
      </c>
      <c r="B131" s="789" t="s">
        <v>72</v>
      </c>
      <c r="C131" s="779">
        <v>0</v>
      </c>
      <c r="D131" s="200"/>
      <c r="E131" s="200"/>
      <c r="F131" s="779">
        <v>-27959.2</v>
      </c>
      <c r="G131" s="200"/>
      <c r="H131" s="695"/>
      <c r="I131" s="819"/>
      <c r="J131" s="200"/>
      <c r="K131" s="836"/>
      <c r="L131" s="696"/>
      <c r="M131" s="200">
        <v>27959.2</v>
      </c>
      <c r="N131" s="863"/>
      <c r="O131" s="200"/>
      <c r="P131" s="697"/>
      <c r="Q131" s="696"/>
      <c r="R131" s="200"/>
      <c r="S131" s="892">
        <f t="shared" si="5"/>
        <v>0</v>
      </c>
      <c r="T131" s="57"/>
    </row>
    <row r="132" spans="1:20" ht="15.75" customHeight="1">
      <c r="A132" s="790" t="s">
        <v>203</v>
      </c>
      <c r="B132" s="787" t="s">
        <v>72</v>
      </c>
      <c r="C132" s="775">
        <v>0</v>
      </c>
      <c r="D132" s="38"/>
      <c r="E132" s="38"/>
      <c r="F132" s="775">
        <v>-9841.64</v>
      </c>
      <c r="G132" s="38"/>
      <c r="H132" s="213"/>
      <c r="I132" s="817"/>
      <c r="J132" s="38"/>
      <c r="K132" s="834"/>
      <c r="L132" s="260"/>
      <c r="M132" s="38">
        <v>9841.64</v>
      </c>
      <c r="N132" s="132"/>
      <c r="O132" s="38"/>
      <c r="P132" s="39"/>
      <c r="Q132" s="260"/>
      <c r="R132" s="38"/>
      <c r="S132" s="833">
        <f t="shared" si="5"/>
        <v>0</v>
      </c>
      <c r="T132" s="57"/>
    </row>
    <row r="133" spans="1:20" ht="15.75" customHeight="1">
      <c r="A133" s="537" t="s">
        <v>73</v>
      </c>
      <c r="B133" s="174" t="s">
        <v>72</v>
      </c>
      <c r="C133" s="38"/>
      <c r="D133" s="38"/>
      <c r="E133" s="38"/>
      <c r="F133" s="251"/>
      <c r="G133" s="38"/>
      <c r="H133" s="213"/>
      <c r="I133" s="817"/>
      <c r="J133" s="38"/>
      <c r="K133" s="834"/>
      <c r="L133" s="260"/>
      <c r="M133" s="38"/>
      <c r="N133" s="132"/>
      <c r="O133" s="38"/>
      <c r="P133" s="39"/>
      <c r="Q133" s="260"/>
      <c r="R133" s="38"/>
      <c r="S133" s="833">
        <f t="shared" si="5"/>
        <v>0</v>
      </c>
      <c r="T133" s="57"/>
    </row>
    <row r="134" spans="1:20" s="2" customFormat="1" ht="15.75" customHeight="1">
      <c r="A134" s="537" t="s">
        <v>74</v>
      </c>
      <c r="B134" s="174" t="s">
        <v>72</v>
      </c>
      <c r="C134" s="38"/>
      <c r="D134" s="38"/>
      <c r="E134" s="38"/>
      <c r="F134" s="768"/>
      <c r="G134" s="117"/>
      <c r="H134" s="213"/>
      <c r="I134" s="817"/>
      <c r="J134" s="38"/>
      <c r="K134" s="39"/>
      <c r="L134" s="260"/>
      <c r="M134" s="38"/>
      <c r="N134" s="132"/>
      <c r="O134" s="38"/>
      <c r="P134" s="39"/>
      <c r="Q134" s="260"/>
      <c r="R134" s="38"/>
      <c r="S134" s="833">
        <f t="shared" si="5"/>
        <v>0</v>
      </c>
      <c r="T134" s="57"/>
    </row>
    <row r="135" spans="1:20" s="2" customFormat="1" ht="15.75" customHeight="1">
      <c r="A135" s="537" t="s">
        <v>73</v>
      </c>
      <c r="B135" s="174" t="s">
        <v>72</v>
      </c>
      <c r="C135" s="38"/>
      <c r="D135" s="38"/>
      <c r="E135" s="38"/>
      <c r="F135" s="768"/>
      <c r="G135" s="117"/>
      <c r="H135" s="213"/>
      <c r="I135" s="817"/>
      <c r="J135" s="38"/>
      <c r="K135" s="39"/>
      <c r="L135" s="260"/>
      <c r="M135" s="38"/>
      <c r="N135" s="132"/>
      <c r="O135" s="38"/>
      <c r="P135" s="39"/>
      <c r="Q135" s="260"/>
      <c r="R135" s="38"/>
      <c r="S135" s="833">
        <f t="shared" si="5"/>
        <v>0</v>
      </c>
      <c r="T135" s="57"/>
    </row>
    <row r="136" spans="1:20" ht="15.75" customHeight="1" thickBot="1">
      <c r="A136" s="718" t="s">
        <v>74</v>
      </c>
      <c r="B136" s="719" t="s">
        <v>72</v>
      </c>
      <c r="C136" s="701"/>
      <c r="D136" s="701"/>
      <c r="E136" s="701"/>
      <c r="F136" s="780"/>
      <c r="G136" s="701"/>
      <c r="H136" s="702"/>
      <c r="I136" s="765"/>
      <c r="J136" s="701"/>
      <c r="K136" s="704"/>
      <c r="L136" s="703"/>
      <c r="M136" s="701"/>
      <c r="N136" s="864"/>
      <c r="O136" s="701"/>
      <c r="P136" s="704"/>
      <c r="Q136" s="703"/>
      <c r="R136" s="701"/>
      <c r="S136" s="906">
        <f t="shared" si="5"/>
        <v>0</v>
      </c>
      <c r="T136" s="57"/>
    </row>
    <row r="137" spans="1:20" ht="15.75" customHeight="1">
      <c r="A137" s="745" t="s">
        <v>162</v>
      </c>
      <c r="B137" s="738" t="s">
        <v>72</v>
      </c>
      <c r="C137" s="41"/>
      <c r="D137" s="41">
        <v>932711</v>
      </c>
      <c r="E137" s="41">
        <v>1601331</v>
      </c>
      <c r="F137" s="633"/>
      <c r="G137" s="41"/>
      <c r="H137" s="692"/>
      <c r="I137" s="820"/>
      <c r="J137" s="41"/>
      <c r="K137" s="189"/>
      <c r="L137" s="188"/>
      <c r="M137" s="41"/>
      <c r="N137" s="190"/>
      <c r="O137" s="41">
        <v>633700</v>
      </c>
      <c r="P137" s="189"/>
      <c r="Q137" s="188"/>
      <c r="R137" s="41"/>
      <c r="S137" s="833">
        <f t="shared" si="5"/>
        <v>3167742</v>
      </c>
      <c r="T137" s="57"/>
    </row>
    <row r="138" spans="1:20" ht="15.75" customHeight="1">
      <c r="A138" s="746" t="s">
        <v>163</v>
      </c>
      <c r="B138" s="739" t="s">
        <v>72</v>
      </c>
      <c r="C138" s="38"/>
      <c r="D138" s="38">
        <v>178178</v>
      </c>
      <c r="E138" s="38">
        <v>563669</v>
      </c>
      <c r="F138" s="251"/>
      <c r="G138" s="38"/>
      <c r="H138" s="213"/>
      <c r="I138" s="817"/>
      <c r="J138" s="38"/>
      <c r="K138" s="39"/>
      <c r="L138" s="260"/>
      <c r="M138" s="38"/>
      <c r="N138" s="132"/>
      <c r="O138" s="38">
        <v>211500</v>
      </c>
      <c r="P138" s="39"/>
      <c r="Q138" s="260"/>
      <c r="R138" s="38"/>
      <c r="S138" s="833">
        <f t="shared" si="5"/>
        <v>953347</v>
      </c>
      <c r="T138" s="57"/>
    </row>
    <row r="139" spans="1:20" ht="15.75" customHeight="1">
      <c r="A139" s="746" t="s">
        <v>162</v>
      </c>
      <c r="B139" s="740" t="s">
        <v>76</v>
      </c>
      <c r="C139" s="38"/>
      <c r="D139" s="38">
        <v>-932711</v>
      </c>
      <c r="E139" s="38">
        <v>-1601331</v>
      </c>
      <c r="F139" s="251"/>
      <c r="G139" s="38"/>
      <c r="H139" s="213"/>
      <c r="I139" s="817"/>
      <c r="J139" s="38"/>
      <c r="K139" s="39"/>
      <c r="L139" s="260"/>
      <c r="M139" s="38"/>
      <c r="N139" s="132"/>
      <c r="O139" s="38">
        <v>-633700</v>
      </c>
      <c r="P139" s="39"/>
      <c r="Q139" s="260"/>
      <c r="R139" s="38"/>
      <c r="S139" s="833">
        <f t="shared" si="5"/>
        <v>-3167742</v>
      </c>
      <c r="T139" s="57"/>
    </row>
    <row r="140" spans="1:20" ht="15.75" customHeight="1" thickBot="1">
      <c r="A140" s="748" t="s">
        <v>163</v>
      </c>
      <c r="B140" s="741" t="s">
        <v>76</v>
      </c>
      <c r="C140" s="686"/>
      <c r="D140" s="686">
        <v>-178178</v>
      </c>
      <c r="E140" s="686">
        <v>-563669</v>
      </c>
      <c r="F140" s="781"/>
      <c r="G140" s="686"/>
      <c r="H140" s="737"/>
      <c r="I140" s="821"/>
      <c r="J140" s="38"/>
      <c r="K140" s="759"/>
      <c r="L140" s="686"/>
      <c r="M140" s="686"/>
      <c r="N140" s="757"/>
      <c r="O140" s="38">
        <v>-211500</v>
      </c>
      <c r="P140" s="759"/>
      <c r="Q140" s="757"/>
      <c r="R140" s="38"/>
      <c r="S140" s="1070">
        <f t="shared" si="5"/>
        <v>-953347</v>
      </c>
      <c r="T140" s="57"/>
    </row>
    <row r="141" spans="1:20" ht="15.75" customHeight="1">
      <c r="A141" s="745" t="s">
        <v>182</v>
      </c>
      <c r="B141" s="742" t="s">
        <v>72</v>
      </c>
      <c r="C141" s="686">
        <v>1450000</v>
      </c>
      <c r="D141" s="686"/>
      <c r="E141" s="686"/>
      <c r="F141" s="781"/>
      <c r="G141" s="686"/>
      <c r="H141" s="737"/>
      <c r="I141" s="821"/>
      <c r="J141" s="38"/>
      <c r="K141" s="759"/>
      <c r="L141" s="686"/>
      <c r="M141" s="686"/>
      <c r="N141" s="757"/>
      <c r="O141" s="38"/>
      <c r="P141" s="759"/>
      <c r="Q141" s="757"/>
      <c r="R141" s="38"/>
      <c r="S141" s="1070">
        <f t="shared" si="5"/>
        <v>1450000</v>
      </c>
      <c r="T141" s="57"/>
    </row>
    <row r="142" spans="1:20" ht="15.75" customHeight="1">
      <c r="A142" s="746" t="s">
        <v>183</v>
      </c>
      <c r="B142" s="743" t="s">
        <v>72</v>
      </c>
      <c r="C142" s="686">
        <v>541400</v>
      </c>
      <c r="D142" s="686"/>
      <c r="E142" s="686"/>
      <c r="F142" s="781"/>
      <c r="G142" s="686"/>
      <c r="H142" s="737"/>
      <c r="I142" s="821"/>
      <c r="J142" s="38"/>
      <c r="K142" s="759"/>
      <c r="L142" s="686"/>
      <c r="M142" s="686"/>
      <c r="N142" s="757"/>
      <c r="O142" s="38"/>
      <c r="P142" s="759"/>
      <c r="Q142" s="757"/>
      <c r="R142" s="38"/>
      <c r="S142" s="1070">
        <f t="shared" si="5"/>
        <v>541400</v>
      </c>
      <c r="T142" s="57"/>
    </row>
    <row r="143" spans="1:20" ht="15.75" customHeight="1">
      <c r="A143" s="746" t="s">
        <v>182</v>
      </c>
      <c r="B143" s="741" t="s">
        <v>76</v>
      </c>
      <c r="C143" s="686">
        <v>-1450000</v>
      </c>
      <c r="D143" s="686"/>
      <c r="E143" s="686"/>
      <c r="F143" s="781"/>
      <c r="G143" s="686"/>
      <c r="H143" s="737"/>
      <c r="I143" s="821"/>
      <c r="J143" s="38"/>
      <c r="K143" s="759"/>
      <c r="L143" s="686"/>
      <c r="M143" s="686"/>
      <c r="N143" s="757"/>
      <c r="O143" s="38"/>
      <c r="P143" s="759"/>
      <c r="Q143" s="757"/>
      <c r="R143" s="38"/>
      <c r="S143" s="1070">
        <f t="shared" si="5"/>
        <v>-1450000</v>
      </c>
      <c r="T143" s="57"/>
    </row>
    <row r="144" spans="1:20" ht="15.75" customHeight="1">
      <c r="A144" s="746" t="s">
        <v>183</v>
      </c>
      <c r="B144" s="741" t="s">
        <v>76</v>
      </c>
      <c r="C144" s="686">
        <v>-541400</v>
      </c>
      <c r="D144" s="686"/>
      <c r="E144" s="686"/>
      <c r="F144" s="781"/>
      <c r="G144" s="686"/>
      <c r="H144" s="737"/>
      <c r="I144" s="821"/>
      <c r="J144" s="38"/>
      <c r="K144" s="759"/>
      <c r="L144" s="686"/>
      <c r="M144" s="686"/>
      <c r="N144" s="757"/>
      <c r="O144" s="38"/>
      <c r="P144" s="759"/>
      <c r="Q144" s="757"/>
      <c r="R144" s="38"/>
      <c r="S144" s="1070">
        <f t="shared" si="5"/>
        <v>-541400</v>
      </c>
      <c r="T144" s="57"/>
    </row>
    <row r="145" spans="1:20" ht="15.75" customHeight="1">
      <c r="A145" s="746" t="s">
        <v>182</v>
      </c>
      <c r="B145" s="742" t="s">
        <v>72</v>
      </c>
      <c r="C145" s="686"/>
      <c r="D145" s="686"/>
      <c r="E145" s="686"/>
      <c r="F145" s="781"/>
      <c r="G145" s="686"/>
      <c r="H145" s="737"/>
      <c r="I145" s="821"/>
      <c r="J145" s="38"/>
      <c r="K145" s="759"/>
      <c r="L145" s="686"/>
      <c r="M145" s="686">
        <v>250000</v>
      </c>
      <c r="N145" s="757"/>
      <c r="O145" s="38"/>
      <c r="P145" s="759"/>
      <c r="Q145" s="757"/>
      <c r="R145" s="38"/>
      <c r="S145" s="1070">
        <f t="shared" si="5"/>
        <v>250000</v>
      </c>
      <c r="T145" s="57"/>
    </row>
    <row r="146" spans="1:20" ht="15.75" customHeight="1">
      <c r="A146" s="746" t="s">
        <v>183</v>
      </c>
      <c r="B146" s="743" t="s">
        <v>72</v>
      </c>
      <c r="C146" s="686"/>
      <c r="D146" s="686"/>
      <c r="E146" s="686"/>
      <c r="F146" s="781"/>
      <c r="G146" s="686"/>
      <c r="H146" s="737"/>
      <c r="I146" s="821"/>
      <c r="J146" s="38"/>
      <c r="K146" s="759"/>
      <c r="L146" s="686"/>
      <c r="M146" s="686">
        <v>88000</v>
      </c>
      <c r="N146" s="757"/>
      <c r="O146" s="38"/>
      <c r="P146" s="759"/>
      <c r="Q146" s="757"/>
      <c r="R146" s="38"/>
      <c r="S146" s="1070">
        <f t="shared" si="5"/>
        <v>88000</v>
      </c>
      <c r="T146" s="57"/>
    </row>
    <row r="147" spans="1:20" ht="15.75" customHeight="1">
      <c r="A147" s="746" t="s">
        <v>182</v>
      </c>
      <c r="B147" s="741" t="s">
        <v>76</v>
      </c>
      <c r="C147" s="686"/>
      <c r="D147" s="686"/>
      <c r="E147" s="686"/>
      <c r="F147" s="781"/>
      <c r="G147" s="686"/>
      <c r="H147" s="737"/>
      <c r="I147" s="821"/>
      <c r="J147" s="38"/>
      <c r="K147" s="759"/>
      <c r="L147" s="686"/>
      <c r="M147" s="686">
        <v>-250000</v>
      </c>
      <c r="N147" s="757"/>
      <c r="O147" s="38"/>
      <c r="P147" s="759"/>
      <c r="Q147" s="757"/>
      <c r="R147" s="38"/>
      <c r="S147" s="1070">
        <f t="shared" si="5"/>
        <v>-250000</v>
      </c>
      <c r="T147" s="57"/>
    </row>
    <row r="148" spans="1:20" ht="15.75" customHeight="1" thickBot="1">
      <c r="A148" s="747" t="s">
        <v>183</v>
      </c>
      <c r="B148" s="741" t="s">
        <v>76</v>
      </c>
      <c r="C148" s="686"/>
      <c r="D148" s="686"/>
      <c r="E148" s="686"/>
      <c r="F148" s="781"/>
      <c r="G148" s="686"/>
      <c r="H148" s="737"/>
      <c r="I148" s="821"/>
      <c r="J148" s="38"/>
      <c r="K148" s="759"/>
      <c r="L148" s="686"/>
      <c r="M148" s="686">
        <v>-88000</v>
      </c>
      <c r="N148" s="757"/>
      <c r="O148" s="38"/>
      <c r="P148" s="759"/>
      <c r="Q148" s="757"/>
      <c r="R148" s="38"/>
      <c r="S148" s="1070">
        <f t="shared" si="5"/>
        <v>-88000</v>
      </c>
      <c r="T148" s="57"/>
    </row>
    <row r="149" spans="1:20" ht="15.75" customHeight="1">
      <c r="A149" s="745" t="s">
        <v>214</v>
      </c>
      <c r="B149" s="742" t="s">
        <v>72</v>
      </c>
      <c r="C149" s="686"/>
      <c r="D149" s="686">
        <v>-116750</v>
      </c>
      <c r="E149" s="686"/>
      <c r="F149" s="781"/>
      <c r="G149" s="686"/>
      <c r="H149" s="737"/>
      <c r="I149" s="821"/>
      <c r="J149" s="38"/>
      <c r="K149" s="759"/>
      <c r="L149" s="686"/>
      <c r="M149" s="686"/>
      <c r="N149" s="757"/>
      <c r="O149" s="38"/>
      <c r="P149" s="759"/>
      <c r="Q149" s="757"/>
      <c r="R149" s="38"/>
      <c r="S149" s="1070">
        <f t="shared" si="5"/>
        <v>-116750</v>
      </c>
      <c r="T149" s="57"/>
    </row>
    <row r="150" spans="1:20" ht="15.75" customHeight="1">
      <c r="A150" s="746" t="s">
        <v>215</v>
      </c>
      <c r="B150" s="743" t="s">
        <v>72</v>
      </c>
      <c r="C150" s="686"/>
      <c r="D150" s="686">
        <v>116750</v>
      </c>
      <c r="E150" s="686"/>
      <c r="F150" s="781"/>
      <c r="G150" s="686"/>
      <c r="H150" s="737"/>
      <c r="I150" s="821"/>
      <c r="J150" s="38"/>
      <c r="K150" s="759"/>
      <c r="L150" s="686"/>
      <c r="M150" s="686"/>
      <c r="N150" s="757"/>
      <c r="O150" s="38"/>
      <c r="P150" s="759"/>
      <c r="Q150" s="757"/>
      <c r="R150" s="38"/>
      <c r="S150" s="1070">
        <f t="shared" si="5"/>
        <v>116750</v>
      </c>
      <c r="T150" s="57"/>
    </row>
    <row r="151" spans="1:20" ht="15.75" customHeight="1">
      <c r="A151" s="746" t="s">
        <v>216</v>
      </c>
      <c r="B151" s="969" t="s">
        <v>72</v>
      </c>
      <c r="C151" s="686"/>
      <c r="D151" s="686">
        <v>75000</v>
      </c>
      <c r="E151" s="686"/>
      <c r="F151" s="781"/>
      <c r="G151" s="686"/>
      <c r="H151" s="737"/>
      <c r="I151" s="821"/>
      <c r="J151" s="38"/>
      <c r="K151" s="759"/>
      <c r="L151" s="686"/>
      <c r="M151" s="686"/>
      <c r="N151" s="757"/>
      <c r="O151" s="38"/>
      <c r="P151" s="759"/>
      <c r="Q151" s="757"/>
      <c r="R151" s="38"/>
      <c r="S151" s="1070">
        <f t="shared" si="5"/>
        <v>75000</v>
      </c>
      <c r="T151" s="57"/>
    </row>
    <row r="152" spans="1:20" ht="15.75" customHeight="1" thickBot="1">
      <c r="A152" s="748" t="s">
        <v>216</v>
      </c>
      <c r="B152" s="970" t="s">
        <v>76</v>
      </c>
      <c r="C152" s="749"/>
      <c r="D152" s="749">
        <v>-75000</v>
      </c>
      <c r="E152" s="749"/>
      <c r="F152" s="782"/>
      <c r="G152" s="749"/>
      <c r="H152" s="750"/>
      <c r="I152" s="822"/>
      <c r="J152" s="637"/>
      <c r="K152" s="838"/>
      <c r="L152" s="749"/>
      <c r="M152" s="749"/>
      <c r="N152" s="865"/>
      <c r="O152" s="637"/>
      <c r="P152" s="838"/>
      <c r="Q152" s="865"/>
      <c r="R152" s="637"/>
      <c r="S152" s="1071">
        <f t="shared" si="5"/>
        <v>-75000</v>
      </c>
      <c r="T152" s="57"/>
    </row>
    <row r="153" spans="1:20" ht="15.75" customHeight="1">
      <c r="A153" s="745" t="s">
        <v>229</v>
      </c>
      <c r="B153" s="971" t="s">
        <v>72</v>
      </c>
      <c r="C153" s="751"/>
      <c r="D153" s="751"/>
      <c r="E153" s="751"/>
      <c r="F153" s="783">
        <v>717535.36</v>
      </c>
      <c r="G153" s="751"/>
      <c r="H153" s="752"/>
      <c r="I153" s="972"/>
      <c r="J153" s="200"/>
      <c r="K153" s="973"/>
      <c r="L153" s="751"/>
      <c r="M153" s="751"/>
      <c r="N153" s="756"/>
      <c r="O153" s="200"/>
      <c r="P153" s="973"/>
      <c r="Q153" s="756"/>
      <c r="R153" s="200"/>
      <c r="S153" s="1072">
        <f t="shared" si="5"/>
        <v>717535.36</v>
      </c>
      <c r="T153" s="57"/>
    </row>
    <row r="154" spans="1:20" ht="15.75" customHeight="1">
      <c r="A154" s="746" t="s">
        <v>230</v>
      </c>
      <c r="B154" s="969" t="s">
        <v>72</v>
      </c>
      <c r="C154" s="686"/>
      <c r="D154" s="686"/>
      <c r="E154" s="686"/>
      <c r="F154" s="781">
        <v>395263.64</v>
      </c>
      <c r="G154" s="686"/>
      <c r="H154" s="737"/>
      <c r="I154" s="821"/>
      <c r="J154" s="38"/>
      <c r="K154" s="759"/>
      <c r="L154" s="686"/>
      <c r="M154" s="686"/>
      <c r="N154" s="757"/>
      <c r="O154" s="38"/>
      <c r="P154" s="759"/>
      <c r="Q154" s="757"/>
      <c r="R154" s="38"/>
      <c r="S154" s="683">
        <f t="shared" si="5"/>
        <v>395263.64</v>
      </c>
      <c r="T154" s="57"/>
    </row>
    <row r="155" spans="1:20" ht="15.75" customHeight="1">
      <c r="A155" s="746" t="s">
        <v>231</v>
      </c>
      <c r="B155" s="969" t="s">
        <v>72</v>
      </c>
      <c r="C155" s="686"/>
      <c r="D155" s="686"/>
      <c r="E155" s="686">
        <v>60000</v>
      </c>
      <c r="F155" s="781">
        <v>761597</v>
      </c>
      <c r="G155" s="686"/>
      <c r="H155" s="737"/>
      <c r="I155" s="821"/>
      <c r="J155" s="38"/>
      <c r="K155" s="759"/>
      <c r="L155" s="686"/>
      <c r="M155" s="686"/>
      <c r="N155" s="757"/>
      <c r="O155" s="38"/>
      <c r="P155" s="759"/>
      <c r="Q155" s="757"/>
      <c r="R155" s="38"/>
      <c r="S155" s="683">
        <f t="shared" si="5"/>
        <v>821597</v>
      </c>
      <c r="T155" s="57"/>
    </row>
    <row r="156" spans="1:20" ht="15.75" customHeight="1" thickBot="1">
      <c r="A156" s="748" t="s">
        <v>231</v>
      </c>
      <c r="B156" s="970" t="s">
        <v>76</v>
      </c>
      <c r="C156" s="749"/>
      <c r="D156" s="749"/>
      <c r="E156" s="749">
        <v>-60000</v>
      </c>
      <c r="F156" s="782">
        <v>-1874396</v>
      </c>
      <c r="G156" s="749"/>
      <c r="H156" s="750"/>
      <c r="I156" s="822"/>
      <c r="J156" s="637"/>
      <c r="K156" s="838"/>
      <c r="L156" s="749"/>
      <c r="M156" s="749"/>
      <c r="N156" s="865"/>
      <c r="O156" s="637"/>
      <c r="P156" s="838"/>
      <c r="Q156" s="865"/>
      <c r="R156" s="637"/>
      <c r="S156" s="683">
        <f t="shared" si="5"/>
        <v>-1934396</v>
      </c>
      <c r="T156" s="57"/>
    </row>
    <row r="157" spans="1:20" ht="15.75" customHeight="1">
      <c r="A157" s="975" t="s">
        <v>232</v>
      </c>
      <c r="B157" s="980" t="s">
        <v>76</v>
      </c>
      <c r="C157" s="976"/>
      <c r="D157" s="976"/>
      <c r="E157" s="751"/>
      <c r="F157" s="783"/>
      <c r="G157" s="751"/>
      <c r="H157" s="752"/>
      <c r="I157" s="752"/>
      <c r="J157" s="751"/>
      <c r="K157" s="751"/>
      <c r="L157" s="751"/>
      <c r="M157" s="751"/>
      <c r="N157" s="751"/>
      <c r="O157" s="751"/>
      <c r="P157" s="751"/>
      <c r="Q157" s="756"/>
      <c r="R157" s="200">
        <v>-372</v>
      </c>
      <c r="S157" s="892">
        <f t="shared" si="5"/>
        <v>-372</v>
      </c>
      <c r="T157" s="57"/>
    </row>
    <row r="158" spans="1:20" ht="15.75" customHeight="1" thickBot="1">
      <c r="A158" s="981" t="s">
        <v>232</v>
      </c>
      <c r="B158" s="982" t="s">
        <v>188</v>
      </c>
      <c r="C158" s="983"/>
      <c r="D158" s="983"/>
      <c r="E158" s="753"/>
      <c r="F158" s="784"/>
      <c r="G158" s="753"/>
      <c r="H158" s="754"/>
      <c r="I158" s="754"/>
      <c r="J158" s="753"/>
      <c r="K158" s="753"/>
      <c r="L158" s="753"/>
      <c r="M158" s="753"/>
      <c r="N158" s="753"/>
      <c r="O158" s="753"/>
      <c r="P158" s="753"/>
      <c r="Q158" s="758"/>
      <c r="R158" s="701">
        <v>372</v>
      </c>
      <c r="S158" s="685">
        <f t="shared" si="5"/>
        <v>372</v>
      </c>
      <c r="T158" s="57"/>
    </row>
    <row r="159" spans="1:20" ht="15.75" customHeight="1">
      <c r="A159" s="977"/>
      <c r="B159" s="978"/>
      <c r="C159" s="914"/>
      <c r="D159" s="914"/>
      <c r="E159" s="914"/>
      <c r="F159" s="915"/>
      <c r="G159" s="914"/>
      <c r="H159" s="965"/>
      <c r="I159" s="979"/>
      <c r="J159" s="41"/>
      <c r="K159" s="916"/>
      <c r="L159" s="914"/>
      <c r="M159" s="914"/>
      <c r="N159" s="917"/>
      <c r="O159" s="41"/>
      <c r="P159" s="916"/>
      <c r="Q159" s="917"/>
      <c r="R159" s="41"/>
      <c r="S159" s="833">
        <f t="shared" si="5"/>
        <v>0</v>
      </c>
      <c r="T159" s="57"/>
    </row>
    <row r="160" spans="1:20" ht="15.75" customHeight="1" thickBot="1">
      <c r="A160" s="747"/>
      <c r="B160" s="755"/>
      <c r="C160" s="753"/>
      <c r="D160" s="753"/>
      <c r="E160" s="753"/>
      <c r="F160" s="784"/>
      <c r="G160" s="753"/>
      <c r="H160" s="754"/>
      <c r="I160" s="974"/>
      <c r="J160" s="701"/>
      <c r="K160" s="760"/>
      <c r="L160" s="753"/>
      <c r="M160" s="753"/>
      <c r="N160" s="758"/>
      <c r="O160" s="701"/>
      <c r="P160" s="760"/>
      <c r="Q160" s="758"/>
      <c r="R160" s="701"/>
      <c r="S160" s="685">
        <f t="shared" si="5"/>
        <v>0</v>
      </c>
      <c r="T160" s="57"/>
    </row>
    <row r="161" spans="1:20" ht="15.75" customHeight="1">
      <c r="A161" s="883" t="s">
        <v>169</v>
      </c>
      <c r="B161" s="738" t="s">
        <v>72</v>
      </c>
      <c r="C161" s="41"/>
      <c r="D161" s="41"/>
      <c r="E161" s="41"/>
      <c r="F161" s="633"/>
      <c r="G161" s="41"/>
      <c r="H161" s="692"/>
      <c r="I161" s="820"/>
      <c r="J161" s="41"/>
      <c r="K161" s="189"/>
      <c r="L161" s="188"/>
      <c r="M161" s="41"/>
      <c r="N161" s="189"/>
      <c r="O161" s="41"/>
      <c r="P161" s="41">
        <v>9500</v>
      </c>
      <c r="Q161" s="188"/>
      <c r="R161" s="41"/>
      <c r="S161" s="833">
        <f t="shared" si="5"/>
        <v>9500</v>
      </c>
      <c r="T161" s="57"/>
    </row>
    <row r="162" spans="1:20" ht="15.75" customHeight="1" thickBot="1">
      <c r="A162" s="747" t="s">
        <v>170</v>
      </c>
      <c r="B162" s="744" t="s">
        <v>76</v>
      </c>
      <c r="C162" s="701"/>
      <c r="D162" s="701"/>
      <c r="E162" s="701"/>
      <c r="F162" s="780"/>
      <c r="G162" s="701"/>
      <c r="H162" s="702"/>
      <c r="I162" s="765"/>
      <c r="J162" s="701"/>
      <c r="K162" s="704"/>
      <c r="L162" s="703"/>
      <c r="M162" s="701"/>
      <c r="N162" s="704"/>
      <c r="O162" s="701"/>
      <c r="P162" s="701">
        <v>-9500</v>
      </c>
      <c r="Q162" s="703"/>
      <c r="R162" s="701"/>
      <c r="S162" s="906">
        <f t="shared" si="5"/>
        <v>-9500</v>
      </c>
      <c r="T162" s="57"/>
    </row>
    <row r="163" spans="1:20" ht="15.75" customHeight="1">
      <c r="A163" s="693" t="s">
        <v>168</v>
      </c>
      <c r="B163" s="694" t="s">
        <v>72</v>
      </c>
      <c r="C163" s="200"/>
      <c r="D163" s="200"/>
      <c r="E163" s="200"/>
      <c r="F163" s="271"/>
      <c r="G163" s="200"/>
      <c r="H163" s="965"/>
      <c r="I163" s="819"/>
      <c r="J163" s="200"/>
      <c r="K163" s="697"/>
      <c r="L163" s="696"/>
      <c r="M163" s="200"/>
      <c r="N163" s="697"/>
      <c r="O163" s="200"/>
      <c r="P163" s="200">
        <v>45195.04</v>
      </c>
      <c r="Q163" s="696"/>
      <c r="R163" s="200"/>
      <c r="S163" s="892">
        <f t="shared" si="5"/>
        <v>45195.04</v>
      </c>
      <c r="T163" s="57"/>
    </row>
    <row r="164" spans="1:20" ht="15.75" customHeight="1" thickBot="1">
      <c r="A164" s="699" t="s">
        <v>168</v>
      </c>
      <c r="B164" s="700" t="s">
        <v>76</v>
      </c>
      <c r="C164" s="701"/>
      <c r="D164" s="701"/>
      <c r="E164" s="701"/>
      <c r="F164" s="780"/>
      <c r="G164" s="701"/>
      <c r="H164" s="750"/>
      <c r="I164" s="765"/>
      <c r="J164" s="701"/>
      <c r="K164" s="704"/>
      <c r="L164" s="703"/>
      <c r="M164" s="701"/>
      <c r="N164" s="704"/>
      <c r="O164" s="701"/>
      <c r="P164" s="701">
        <v>-45195.04</v>
      </c>
      <c r="Q164" s="703"/>
      <c r="R164" s="701"/>
      <c r="S164" s="906">
        <f t="shared" si="5"/>
        <v>-45195.04</v>
      </c>
      <c r="T164" s="57"/>
    </row>
    <row r="165" spans="1:20" ht="15.75" customHeight="1">
      <c r="A165" s="693" t="s">
        <v>176</v>
      </c>
      <c r="B165" s="694" t="s">
        <v>72</v>
      </c>
      <c r="C165" s="200"/>
      <c r="D165" s="200"/>
      <c r="E165" s="200"/>
      <c r="F165" s="271"/>
      <c r="G165" s="200"/>
      <c r="H165" s="695"/>
      <c r="I165" s="819"/>
      <c r="J165" s="200"/>
      <c r="K165" s="697"/>
      <c r="L165" s="696"/>
      <c r="M165" s="200"/>
      <c r="N165" s="697"/>
      <c r="O165" s="200"/>
      <c r="P165" s="696">
        <f>-7040.77-11.24</f>
        <v>-7052.01</v>
      </c>
      <c r="Q165" s="696"/>
      <c r="R165" s="200"/>
      <c r="S165" s="892">
        <f t="shared" si="5"/>
        <v>-7052.01</v>
      </c>
      <c r="T165" s="57"/>
    </row>
    <row r="166" spans="1:20" ht="12.75" customHeight="1" thickBot="1">
      <c r="A166" s="918" t="s">
        <v>176</v>
      </c>
      <c r="B166" s="919" t="s">
        <v>76</v>
      </c>
      <c r="C166" s="637"/>
      <c r="D166" s="637"/>
      <c r="E166" s="637"/>
      <c r="F166" s="771"/>
      <c r="G166" s="637"/>
      <c r="H166" s="690"/>
      <c r="I166" s="818"/>
      <c r="J166" s="637"/>
      <c r="K166" s="639"/>
      <c r="L166" s="691"/>
      <c r="M166" s="637"/>
      <c r="N166" s="639"/>
      <c r="O166" s="637"/>
      <c r="P166" s="691">
        <f>7040.77+11.24</f>
        <v>7052.01</v>
      </c>
      <c r="Q166" s="691"/>
      <c r="R166" s="637"/>
      <c r="S166" s="902">
        <f t="shared" si="5"/>
        <v>7052.01</v>
      </c>
      <c r="T166" s="57"/>
    </row>
    <row r="167" spans="1:20" ht="12.75" customHeight="1">
      <c r="A167" s="920" t="s">
        <v>225</v>
      </c>
      <c r="B167" s="921" t="s">
        <v>72</v>
      </c>
      <c r="C167" s="751"/>
      <c r="D167" s="751"/>
      <c r="E167" s="751"/>
      <c r="F167" s="783"/>
      <c r="G167" s="751"/>
      <c r="H167" s="752"/>
      <c r="I167" s="752"/>
      <c r="J167" s="751"/>
      <c r="K167" s="751"/>
      <c r="L167" s="751"/>
      <c r="M167" s="751"/>
      <c r="N167" s="751"/>
      <c r="O167" s="756"/>
      <c r="P167" s="761"/>
      <c r="Q167" s="863">
        <v>-26000</v>
      </c>
      <c r="R167" s="200"/>
      <c r="S167" s="1072">
        <f t="shared" si="5"/>
        <v>-26000</v>
      </c>
      <c r="T167" s="57"/>
    </row>
    <row r="168" spans="1:20" ht="12.75" customHeight="1" thickBot="1">
      <c r="A168" s="996" t="s">
        <v>225</v>
      </c>
      <c r="B168" s="997" t="s">
        <v>76</v>
      </c>
      <c r="C168" s="753"/>
      <c r="D168" s="753"/>
      <c r="E168" s="753"/>
      <c r="F168" s="784"/>
      <c r="G168" s="753"/>
      <c r="H168" s="754"/>
      <c r="I168" s="754"/>
      <c r="J168" s="753"/>
      <c r="K168" s="753"/>
      <c r="L168" s="753"/>
      <c r="M168" s="753"/>
      <c r="N168" s="753"/>
      <c r="O168" s="758"/>
      <c r="P168" s="928"/>
      <c r="Q168" s="864">
        <v>26000</v>
      </c>
      <c r="R168" s="701"/>
      <c r="S168" s="906">
        <f t="shared" si="5"/>
        <v>26000</v>
      </c>
      <c r="T168" s="57"/>
    </row>
    <row r="169" spans="1:20" ht="12.75" customHeight="1">
      <c r="A169" s="745" t="s">
        <v>185</v>
      </c>
      <c r="B169" s="988" t="s">
        <v>72</v>
      </c>
      <c r="C169" s="751"/>
      <c r="D169" s="751"/>
      <c r="E169" s="751"/>
      <c r="F169" s="783"/>
      <c r="G169" s="756"/>
      <c r="H169" s="695"/>
      <c r="I169" s="989"/>
      <c r="J169" s="200"/>
      <c r="K169" s="973"/>
      <c r="L169" s="751"/>
      <c r="M169" s="751"/>
      <c r="N169" s="756"/>
      <c r="O169" s="200">
        <v>-28315.38</v>
      </c>
      <c r="P169" s="990"/>
      <c r="Q169" s="696"/>
      <c r="R169" s="200"/>
      <c r="S169" s="892">
        <f>SUM(C169:R169)</f>
        <v>-28315.38</v>
      </c>
      <c r="T169" s="762"/>
    </row>
    <row r="170" spans="1:20" s="9" customFormat="1" ht="12" customHeight="1">
      <c r="A170" s="746" t="s">
        <v>186</v>
      </c>
      <c r="B170" s="741" t="s">
        <v>72</v>
      </c>
      <c r="C170" s="686"/>
      <c r="D170" s="686"/>
      <c r="E170" s="686"/>
      <c r="F170" s="781"/>
      <c r="G170" s="757"/>
      <c r="H170" s="213"/>
      <c r="I170" s="966"/>
      <c r="J170" s="38"/>
      <c r="K170" s="759"/>
      <c r="L170" s="686"/>
      <c r="M170" s="686"/>
      <c r="N170" s="757"/>
      <c r="O170" s="38">
        <v>-9928.96</v>
      </c>
      <c r="P170" s="958"/>
      <c r="Q170" s="260"/>
      <c r="R170" s="38"/>
      <c r="S170" s="684">
        <f>SUM(C170:R170)</f>
        <v>-9928.96</v>
      </c>
      <c r="T170" s="57"/>
    </row>
    <row r="171" spans="1:20" s="9" customFormat="1" ht="12" customHeight="1" thickBot="1">
      <c r="A171" s="747" t="s">
        <v>184</v>
      </c>
      <c r="B171" s="755" t="s">
        <v>76</v>
      </c>
      <c r="C171" s="753"/>
      <c r="D171" s="753"/>
      <c r="E171" s="753"/>
      <c r="F171" s="784"/>
      <c r="G171" s="758"/>
      <c r="H171" s="702"/>
      <c r="I171" s="967"/>
      <c r="J171" s="701"/>
      <c r="K171" s="760"/>
      <c r="L171" s="753"/>
      <c r="M171" s="753"/>
      <c r="N171" s="758"/>
      <c r="O171" s="701"/>
      <c r="P171" s="703">
        <v>38244.34</v>
      </c>
      <c r="Q171" s="703"/>
      <c r="R171" s="701"/>
      <c r="S171" s="685">
        <f>SUM(C171:R171)</f>
        <v>38244.34</v>
      </c>
      <c r="T171" s="57">
        <f>SUM(S169:S171)</f>
        <v>0</v>
      </c>
    </row>
    <row r="172" spans="1:20" ht="12.75" customHeight="1">
      <c r="A172" s="975" t="s">
        <v>234</v>
      </c>
      <c r="B172" s="991" t="s">
        <v>72</v>
      </c>
      <c r="C172" s="992"/>
      <c r="D172" s="992"/>
      <c r="E172" s="993"/>
      <c r="F172" s="783"/>
      <c r="G172" s="751"/>
      <c r="H172" s="752"/>
      <c r="I172" s="783"/>
      <c r="J172" s="992"/>
      <c r="K172" s="992"/>
      <c r="L172" s="992"/>
      <c r="M172" s="992"/>
      <c r="N172" s="992"/>
      <c r="O172" s="992">
        <f>17990+4234</f>
        <v>22224</v>
      </c>
      <c r="P172" s="992"/>
      <c r="Q172" s="1057"/>
      <c r="R172" s="1075">
        <v>-22224</v>
      </c>
      <c r="S172" s="892">
        <f t="shared" si="5"/>
        <v>0</v>
      </c>
      <c r="T172" s="57"/>
    </row>
    <row r="173" spans="1:20" ht="12.75" customHeight="1">
      <c r="A173" s="994" t="s">
        <v>235</v>
      </c>
      <c r="B173" s="987" t="s">
        <v>72</v>
      </c>
      <c r="C173" s="687"/>
      <c r="D173" s="687"/>
      <c r="E173" s="686"/>
      <c r="F173" s="985"/>
      <c r="G173" s="687"/>
      <c r="H173" s="737"/>
      <c r="I173" s="781"/>
      <c r="J173" s="687"/>
      <c r="K173" s="687"/>
      <c r="L173" s="687"/>
      <c r="M173" s="687"/>
      <c r="N173" s="687"/>
      <c r="O173" s="687">
        <f>6281+1477</f>
        <v>7758</v>
      </c>
      <c r="P173" s="687"/>
      <c r="Q173" s="1058"/>
      <c r="R173" s="114">
        <v>-7758</v>
      </c>
      <c r="S173" s="684">
        <f t="shared" si="5"/>
        <v>0</v>
      </c>
      <c r="T173" s="57"/>
    </row>
    <row r="174" spans="1:20" s="9" customFormat="1" ht="12.75" customHeight="1">
      <c r="A174" s="994" t="s">
        <v>236</v>
      </c>
      <c r="B174" s="987" t="s">
        <v>72</v>
      </c>
      <c r="C174" s="687"/>
      <c r="D174" s="687"/>
      <c r="E174" s="984"/>
      <c r="F174" s="781"/>
      <c r="G174" s="686"/>
      <c r="H174" s="737"/>
      <c r="I174" s="781"/>
      <c r="J174" s="687"/>
      <c r="K174" s="687"/>
      <c r="L174" s="687"/>
      <c r="M174" s="687"/>
      <c r="N174" s="687"/>
      <c r="O174" s="687">
        <v>85922</v>
      </c>
      <c r="P174" s="687"/>
      <c r="Q174" s="1058"/>
      <c r="R174" s="114">
        <v>-85922</v>
      </c>
      <c r="S174" s="684">
        <f t="shared" si="5"/>
        <v>0</v>
      </c>
      <c r="T174" s="57"/>
    </row>
    <row r="175" spans="1:20" s="9" customFormat="1" ht="14.25" customHeight="1" thickBot="1">
      <c r="A175" s="1015" t="s">
        <v>237</v>
      </c>
      <c r="B175" s="1016" t="s">
        <v>76</v>
      </c>
      <c r="C175" s="688"/>
      <c r="D175" s="688"/>
      <c r="E175" s="749"/>
      <c r="F175" s="1017"/>
      <c r="G175" s="688"/>
      <c r="H175" s="1018"/>
      <c r="I175" s="1017"/>
      <c r="J175" s="688"/>
      <c r="K175" s="688"/>
      <c r="L175" s="688"/>
      <c r="M175" s="688"/>
      <c r="N175" s="688"/>
      <c r="O175" s="688">
        <v>54739</v>
      </c>
      <c r="P175" s="688"/>
      <c r="Q175" s="1059"/>
      <c r="R175" s="681">
        <v>-54739</v>
      </c>
      <c r="S175" s="683">
        <f t="shared" si="5"/>
        <v>0</v>
      </c>
      <c r="T175" s="57"/>
    </row>
    <row r="176" spans="1:20" s="9" customFormat="1" ht="14.25" customHeight="1">
      <c r="A176" s="1011" t="s">
        <v>269</v>
      </c>
      <c r="B176" s="657" t="s">
        <v>72</v>
      </c>
      <c r="C176" s="992">
        <f>10795+1664</f>
        <v>12459</v>
      </c>
      <c r="D176" s="992">
        <v>0</v>
      </c>
      <c r="E176" s="751">
        <f>10734.5+1473.5</f>
        <v>12208</v>
      </c>
      <c r="F176" s="1012">
        <f>9947+1664</f>
        <v>11611</v>
      </c>
      <c r="G176" s="992">
        <f>9751+1697.5</f>
        <v>11448.5</v>
      </c>
      <c r="H176" s="1013">
        <f>10795+1367</f>
        <v>12162</v>
      </c>
      <c r="I176" s="1012">
        <v>0</v>
      </c>
      <c r="J176" s="992">
        <v>0</v>
      </c>
      <c r="K176" s="992">
        <v>0</v>
      </c>
      <c r="L176" s="992">
        <v>0</v>
      </c>
      <c r="M176" s="992">
        <v>0</v>
      </c>
      <c r="N176" s="992">
        <v>0</v>
      </c>
      <c r="O176" s="1013"/>
      <c r="P176" s="992"/>
      <c r="Q176" s="1060">
        <v>-59888.5</v>
      </c>
      <c r="R176" s="1075"/>
      <c r="S176" s="892">
        <f t="shared" si="5"/>
        <v>0</v>
      </c>
      <c r="T176" s="57"/>
    </row>
    <row r="177" spans="1:20" s="9" customFormat="1" ht="14.25" customHeight="1">
      <c r="A177" s="1028" t="s">
        <v>270</v>
      </c>
      <c r="B177" s="986" t="s">
        <v>72</v>
      </c>
      <c r="C177" s="687">
        <f>3368+585.72</f>
        <v>3953.7200000000003</v>
      </c>
      <c r="D177" s="687">
        <v>0</v>
      </c>
      <c r="E177" s="686">
        <f>3349.2+518.66</f>
        <v>3867.8599999999997</v>
      </c>
      <c r="F177" s="985">
        <f>3501.3+585.72</f>
        <v>4087.0200000000004</v>
      </c>
      <c r="G177" s="687">
        <f>3432.4+529.62</f>
        <v>3962.02</v>
      </c>
      <c r="H177" s="781">
        <f>3368+481.18</f>
        <v>3849.18</v>
      </c>
      <c r="I177" s="985">
        <v>0</v>
      </c>
      <c r="J177" s="687">
        <v>0</v>
      </c>
      <c r="K177" s="687">
        <v>0</v>
      </c>
      <c r="L177" s="687">
        <v>0</v>
      </c>
      <c r="M177" s="687">
        <v>0</v>
      </c>
      <c r="N177" s="687">
        <v>0</v>
      </c>
      <c r="O177" s="1019"/>
      <c r="P177" s="687"/>
      <c r="Q177" s="1061">
        <v>-19719.8</v>
      </c>
      <c r="R177" s="114"/>
      <c r="S177" s="684">
        <f t="shared" si="5"/>
        <v>0</v>
      </c>
      <c r="T177" s="57"/>
    </row>
    <row r="178" spans="1:20" s="9" customFormat="1" ht="14.25" customHeight="1">
      <c r="A178" s="1028" t="s">
        <v>265</v>
      </c>
      <c r="B178" s="986"/>
      <c r="C178" s="687"/>
      <c r="D178" s="687"/>
      <c r="E178" s="686"/>
      <c r="F178" s="985"/>
      <c r="G178" s="687"/>
      <c r="H178" s="781"/>
      <c r="I178" s="985"/>
      <c r="J178" s="687"/>
      <c r="K178" s="687"/>
      <c r="L178" s="687"/>
      <c r="M178" s="687"/>
      <c r="N178" s="687"/>
      <c r="O178" s="687">
        <v>-59888.5</v>
      </c>
      <c r="P178" s="687"/>
      <c r="Q178" s="1058">
        <v>59888.5</v>
      </c>
      <c r="R178" s="114"/>
      <c r="S178" s="684">
        <f t="shared" si="5"/>
        <v>0</v>
      </c>
      <c r="T178" s="57"/>
    </row>
    <row r="179" spans="1:20" s="9" customFormat="1" ht="12.75" customHeight="1" thickBot="1">
      <c r="A179" s="1029" t="s">
        <v>266</v>
      </c>
      <c r="B179" s="1030"/>
      <c r="C179" s="1031"/>
      <c r="D179" s="1031"/>
      <c r="E179" s="1032"/>
      <c r="F179" s="1033"/>
      <c r="G179" s="1031"/>
      <c r="H179" s="1034"/>
      <c r="I179" s="1033"/>
      <c r="J179" s="1031"/>
      <c r="K179" s="1031"/>
      <c r="L179" s="1031"/>
      <c r="M179" s="1035"/>
      <c r="N179" s="1035"/>
      <c r="O179" s="995">
        <v>-19719.8</v>
      </c>
      <c r="P179" s="1035"/>
      <c r="Q179" s="1062">
        <v>19719.8</v>
      </c>
      <c r="R179" s="1076"/>
      <c r="S179" s="685">
        <f t="shared" si="5"/>
        <v>0</v>
      </c>
      <c r="T179" s="57"/>
    </row>
    <row r="180" spans="1:20" s="9" customFormat="1" ht="14.25" customHeight="1">
      <c r="A180" s="36"/>
      <c r="B180" s="1020"/>
      <c r="C180" s="676"/>
      <c r="D180" s="676"/>
      <c r="E180" s="41"/>
      <c r="F180" s="1021"/>
      <c r="G180" s="676"/>
      <c r="H180" s="1021"/>
      <c r="I180" s="1022"/>
      <c r="J180" s="676"/>
      <c r="K180" s="1023"/>
      <c r="L180" s="1024"/>
      <c r="M180" s="1025"/>
      <c r="N180" s="1026"/>
      <c r="O180" s="1025"/>
      <c r="P180" s="1025"/>
      <c r="Q180" s="1063"/>
      <c r="R180" s="1027"/>
      <c r="S180" s="833">
        <f t="shared" si="5"/>
        <v>0</v>
      </c>
      <c r="T180" s="57"/>
    </row>
    <row r="181" spans="1:20" s="9" customFormat="1" ht="14.25" customHeight="1">
      <c r="A181" s="10"/>
      <c r="B181" s="175"/>
      <c r="C181" s="12"/>
      <c r="D181" s="12"/>
      <c r="E181" s="38"/>
      <c r="F181" s="766"/>
      <c r="G181" s="12"/>
      <c r="H181" s="766"/>
      <c r="I181" s="808"/>
      <c r="J181" s="12"/>
      <c r="K181" s="40"/>
      <c r="L181" s="141"/>
      <c r="M181" s="215"/>
      <c r="N181" s="269"/>
      <c r="O181" s="215"/>
      <c r="P181" s="12"/>
      <c r="Q181" s="852"/>
      <c r="R181" s="681"/>
      <c r="S181" s="833">
        <f t="shared" si="5"/>
        <v>0</v>
      </c>
      <c r="T181" s="57"/>
    </row>
    <row r="182" spans="1:20" s="9" customFormat="1" ht="14.25" customHeight="1">
      <c r="A182" s="10"/>
      <c r="B182" s="175"/>
      <c r="C182" s="12"/>
      <c r="D182" s="12"/>
      <c r="E182" s="38"/>
      <c r="F182" s="12"/>
      <c r="G182" s="12"/>
      <c r="H182" s="766"/>
      <c r="I182" s="808"/>
      <c r="J182" s="12"/>
      <c r="K182" s="40"/>
      <c r="L182" s="141"/>
      <c r="M182" s="215"/>
      <c r="N182" s="269"/>
      <c r="O182" s="215"/>
      <c r="P182" s="12"/>
      <c r="Q182" s="852"/>
      <c r="R182" s="681"/>
      <c r="S182" s="833">
        <f t="shared" si="5"/>
        <v>0</v>
      </c>
      <c r="T182" s="57"/>
    </row>
    <row r="183" spans="1:20" s="9" customFormat="1" ht="14.25" customHeight="1">
      <c r="A183" s="10"/>
      <c r="B183" s="175"/>
      <c r="C183" s="12"/>
      <c r="D183" s="12"/>
      <c r="E183" s="38"/>
      <c r="F183" s="12"/>
      <c r="G183" s="12"/>
      <c r="H183" s="766"/>
      <c r="I183" s="808"/>
      <c r="J183" s="12"/>
      <c r="K183" s="40"/>
      <c r="L183" s="141"/>
      <c r="M183" s="215"/>
      <c r="N183" s="269"/>
      <c r="O183" s="215"/>
      <c r="P183" s="12"/>
      <c r="Q183" s="852"/>
      <c r="R183" s="681"/>
      <c r="S183" s="833">
        <f t="shared" si="5"/>
        <v>0</v>
      </c>
      <c r="T183" s="57"/>
    </row>
    <row r="184" spans="1:20" s="9" customFormat="1" ht="12.75" customHeight="1">
      <c r="A184" s="10"/>
      <c r="B184" s="176"/>
      <c r="C184" s="38"/>
      <c r="D184" s="38"/>
      <c r="E184" s="38"/>
      <c r="F184" s="38"/>
      <c r="G184" s="38"/>
      <c r="H184" s="38"/>
      <c r="I184" s="261"/>
      <c r="J184" s="213"/>
      <c r="K184" s="39"/>
      <c r="L184" s="260"/>
      <c r="M184" s="38"/>
      <c r="N184" s="39"/>
      <c r="O184" s="38"/>
      <c r="P184" s="38"/>
      <c r="Q184" s="260"/>
      <c r="R184" s="637"/>
      <c r="S184" s="833">
        <f t="shared" si="5"/>
        <v>0</v>
      </c>
      <c r="T184" s="57"/>
    </row>
    <row r="185" spans="1:20" s="9" customFormat="1" ht="12.75" customHeight="1">
      <c r="A185" s="10"/>
      <c r="B185" s="176"/>
      <c r="C185" s="38"/>
      <c r="D185" s="38"/>
      <c r="E185" s="38"/>
      <c r="F185" s="38"/>
      <c r="G185" s="38"/>
      <c r="H185" s="38"/>
      <c r="I185" s="261"/>
      <c r="J185" s="213"/>
      <c r="K185" s="684"/>
      <c r="L185" s="260"/>
      <c r="M185" s="38"/>
      <c r="N185" s="39"/>
      <c r="O185" s="212"/>
      <c r="P185" s="38"/>
      <c r="Q185" s="260"/>
      <c r="R185" s="637"/>
      <c r="S185" s="833">
        <f t="shared" si="5"/>
        <v>0</v>
      </c>
      <c r="T185" s="57"/>
    </row>
    <row r="186" spans="1:20" s="9" customFormat="1" ht="14.25" customHeight="1">
      <c r="A186" s="11"/>
      <c r="B186" s="175"/>
      <c r="C186" s="12"/>
      <c r="D186" s="12"/>
      <c r="E186" s="38"/>
      <c r="F186" s="12"/>
      <c r="G186" s="12"/>
      <c r="H186" s="12"/>
      <c r="I186" s="808"/>
      <c r="J186" s="12"/>
      <c r="K186" s="40"/>
      <c r="L186" s="141"/>
      <c r="M186" s="12"/>
      <c r="N186" s="40"/>
      <c r="O186" s="12"/>
      <c r="P186" s="12"/>
      <c r="Q186" s="141"/>
      <c r="R186" s="78"/>
      <c r="S186" s="833">
        <f t="shared" si="5"/>
        <v>0</v>
      </c>
      <c r="T186" s="57"/>
    </row>
    <row r="187" spans="1:20" s="9" customFormat="1" ht="14.25" customHeight="1">
      <c r="A187" s="11"/>
      <c r="B187" s="175"/>
      <c r="C187" s="12"/>
      <c r="D187" s="12"/>
      <c r="E187" s="38"/>
      <c r="F187" s="12"/>
      <c r="G187" s="12"/>
      <c r="H187" s="12"/>
      <c r="I187" s="808"/>
      <c r="J187" s="12"/>
      <c r="K187" s="40"/>
      <c r="L187" s="141"/>
      <c r="M187" s="12"/>
      <c r="N187" s="40"/>
      <c r="O187" s="12"/>
      <c r="P187" s="12"/>
      <c r="Q187" s="141"/>
      <c r="R187" s="78"/>
      <c r="S187" s="833">
        <f t="shared" si="5"/>
        <v>0</v>
      </c>
      <c r="T187" s="57"/>
    </row>
    <row r="188" spans="1:20" s="9" customFormat="1" ht="14.25" customHeight="1">
      <c r="A188" s="125"/>
      <c r="B188" s="175"/>
      <c r="C188" s="12"/>
      <c r="D188" s="12"/>
      <c r="E188" s="38"/>
      <c r="F188" s="12"/>
      <c r="G188" s="12"/>
      <c r="H188" s="12"/>
      <c r="I188" s="808"/>
      <c r="J188" s="12"/>
      <c r="K188" s="40"/>
      <c r="L188" s="141"/>
      <c r="M188" s="12"/>
      <c r="N188" s="40"/>
      <c r="O188" s="12"/>
      <c r="P188" s="12"/>
      <c r="Q188" s="1041"/>
      <c r="R188" s="682"/>
      <c r="S188" s="833">
        <f t="shared" si="5"/>
        <v>0</v>
      </c>
      <c r="T188" s="57"/>
    </row>
    <row r="189" spans="1:20" s="9" customFormat="1" ht="14.25" customHeight="1">
      <c r="A189" s="125"/>
      <c r="B189" s="175"/>
      <c r="C189" s="12"/>
      <c r="D189" s="12"/>
      <c r="E189" s="38"/>
      <c r="F189" s="12"/>
      <c r="G189" s="12"/>
      <c r="H189" s="12"/>
      <c r="I189" s="808"/>
      <c r="J189" s="12"/>
      <c r="K189" s="40"/>
      <c r="L189" s="141"/>
      <c r="M189" s="12"/>
      <c r="N189" s="40"/>
      <c r="O189" s="12"/>
      <c r="P189" s="12"/>
      <c r="Q189" s="1041"/>
      <c r="R189" s="682"/>
      <c r="S189" s="833">
        <f t="shared" si="5"/>
        <v>0</v>
      </c>
      <c r="T189" s="57"/>
    </row>
    <row r="190" spans="1:20" s="9" customFormat="1" ht="12.75" customHeight="1">
      <c r="A190" s="125"/>
      <c r="B190" s="174"/>
      <c r="C190" s="38"/>
      <c r="D190" s="38"/>
      <c r="E190" s="38"/>
      <c r="F190" s="38"/>
      <c r="G190" s="38"/>
      <c r="H190" s="38"/>
      <c r="I190" s="261"/>
      <c r="J190" s="38"/>
      <c r="K190" s="828"/>
      <c r="L190" s="265"/>
      <c r="M190" s="38"/>
      <c r="N190" s="39"/>
      <c r="O190" s="38"/>
      <c r="P190" s="38"/>
      <c r="Q190" s="1042"/>
      <c r="R190" s="640"/>
      <c r="S190" s="833">
        <f t="shared" si="5"/>
        <v>0</v>
      </c>
      <c r="T190" s="57"/>
    </row>
    <row r="191" spans="1:20" s="9" customFormat="1" ht="13.5" thickBot="1">
      <c r="A191" s="125"/>
      <c r="B191" s="177"/>
      <c r="C191" s="78"/>
      <c r="D191" s="78"/>
      <c r="E191" s="637"/>
      <c r="F191" s="78"/>
      <c r="G191" s="78"/>
      <c r="H191" s="78"/>
      <c r="I191" s="809"/>
      <c r="J191" s="66"/>
      <c r="K191" s="67"/>
      <c r="L191" s="110"/>
      <c r="M191" s="66"/>
      <c r="N191" s="67"/>
      <c r="O191" s="66"/>
      <c r="P191" s="66"/>
      <c r="Q191" s="1064"/>
      <c r="R191" s="275"/>
      <c r="S191" s="833">
        <f t="shared" si="5"/>
        <v>0</v>
      </c>
      <c r="T191" s="57">
        <f>P4-P196</f>
        <v>7035.989999999991</v>
      </c>
    </row>
    <row r="192" spans="1:20" ht="15.75" customHeight="1" thickBot="1">
      <c r="A192" s="108" t="s">
        <v>24</v>
      </c>
      <c r="B192" s="130"/>
      <c r="C192" s="103">
        <f aca="true" t="shared" si="6" ref="C192:R192">SUM(C7:C191)</f>
        <v>1684345.22</v>
      </c>
      <c r="D192" s="103">
        <f t="shared" si="6"/>
        <v>1565061.5</v>
      </c>
      <c r="E192" s="103">
        <f t="shared" si="6"/>
        <v>4304883.21</v>
      </c>
      <c r="F192" s="103">
        <f t="shared" si="6"/>
        <v>3041885.3299999996</v>
      </c>
      <c r="G192" s="103">
        <f t="shared" si="6"/>
        <v>190650.52</v>
      </c>
      <c r="H192" s="103">
        <f t="shared" si="6"/>
        <v>2014527.5799999998</v>
      </c>
      <c r="I192" s="823">
        <f t="shared" si="6"/>
        <v>148367.49</v>
      </c>
      <c r="J192" s="103">
        <f t="shared" si="6"/>
        <v>162088</v>
      </c>
      <c r="K192" s="839">
        <f t="shared" si="6"/>
        <v>1622327</v>
      </c>
      <c r="L192" s="103">
        <f t="shared" si="6"/>
        <v>9958</v>
      </c>
      <c r="M192" s="103">
        <f t="shared" si="6"/>
        <v>46641.83999999997</v>
      </c>
      <c r="N192" s="103">
        <f t="shared" si="6"/>
        <v>-148367.49</v>
      </c>
      <c r="O192" s="103">
        <f t="shared" si="6"/>
        <v>271754.3900000001</v>
      </c>
      <c r="P192" s="103">
        <f t="shared" si="6"/>
        <v>-7035.990000000005</v>
      </c>
      <c r="Q192" s="103">
        <f t="shared" si="6"/>
        <v>20519.969999999998</v>
      </c>
      <c r="R192" s="103">
        <f t="shared" si="6"/>
        <v>2503059</v>
      </c>
      <c r="S192" s="839">
        <f>SUM(C192:R192)</f>
        <v>17430665.57</v>
      </c>
      <c r="T192" s="57">
        <f>Q4-Q195</f>
        <v>179480.03000000003</v>
      </c>
    </row>
    <row r="193" spans="1:20" ht="18" customHeight="1" thickBot="1">
      <c r="A193" s="13" t="s">
        <v>25</v>
      </c>
      <c r="B193" s="131"/>
      <c r="C193" s="104">
        <f aca="true" t="shared" si="7" ref="C193:I193">SUM(C11:C84)</f>
        <v>800267</v>
      </c>
      <c r="D193" s="104">
        <f t="shared" si="7"/>
        <v>341042</v>
      </c>
      <c r="E193" s="104">
        <f t="shared" si="7"/>
        <v>2367287</v>
      </c>
      <c r="F193" s="104">
        <f t="shared" si="7"/>
        <v>941585</v>
      </c>
      <c r="G193" s="104">
        <f t="shared" si="7"/>
        <v>155714</v>
      </c>
      <c r="H193" s="104">
        <f t="shared" si="7"/>
        <v>1323785</v>
      </c>
      <c r="I193" s="111">
        <f t="shared" si="7"/>
        <v>0</v>
      </c>
      <c r="J193" s="104">
        <f aca="true" t="shared" si="8" ref="J193:R193">SUM(J87:J191)</f>
        <v>-38928</v>
      </c>
      <c r="K193" s="840">
        <f t="shared" si="8"/>
        <v>0</v>
      </c>
      <c r="L193" s="104">
        <f t="shared" si="8"/>
        <v>0</v>
      </c>
      <c r="M193" s="104">
        <f t="shared" si="8"/>
        <v>35254.83999999997</v>
      </c>
      <c r="N193" s="104">
        <f t="shared" si="8"/>
        <v>-148367.49</v>
      </c>
      <c r="O193" s="104">
        <f t="shared" si="8"/>
        <v>72660.39000000003</v>
      </c>
      <c r="P193" s="104">
        <f t="shared" si="8"/>
        <v>-16557.990000000005</v>
      </c>
      <c r="Q193" s="104">
        <f t="shared" si="8"/>
        <v>-179480.03</v>
      </c>
      <c r="R193" s="104">
        <f t="shared" si="8"/>
        <v>-140661</v>
      </c>
      <c r="S193" s="840">
        <f>SUM(C193:R193)</f>
        <v>5513600.719999999</v>
      </c>
      <c r="T193" s="57"/>
    </row>
    <row r="194" spans="1:20" ht="19.5" customHeight="1" thickBot="1">
      <c r="A194" s="44" t="s">
        <v>51</v>
      </c>
      <c r="B194" s="127"/>
      <c r="C194" s="105">
        <f aca="true" t="shared" si="9" ref="C194:S194">C4+C192</f>
        <v>13601669.22</v>
      </c>
      <c r="D194" s="105">
        <f t="shared" si="9"/>
        <v>6234489.5</v>
      </c>
      <c r="E194" s="105">
        <f t="shared" si="9"/>
        <v>16602457.21</v>
      </c>
      <c r="F194" s="105">
        <f t="shared" si="9"/>
        <v>15096298.33</v>
      </c>
      <c r="G194" s="105">
        <f t="shared" si="9"/>
        <v>4401694.52</v>
      </c>
      <c r="H194" s="105">
        <f t="shared" si="9"/>
        <v>10705957.58</v>
      </c>
      <c r="I194" s="112">
        <f t="shared" si="9"/>
        <v>148367.49</v>
      </c>
      <c r="J194" s="105">
        <f t="shared" si="9"/>
        <v>4273974</v>
      </c>
      <c r="K194" s="841">
        <f t="shared" si="9"/>
        <v>4598904</v>
      </c>
      <c r="L194" s="105">
        <f t="shared" si="9"/>
        <v>54845</v>
      </c>
      <c r="M194" s="105">
        <f t="shared" si="9"/>
        <v>1052978.8399999999</v>
      </c>
      <c r="N194" s="105">
        <f t="shared" si="9"/>
        <v>95251.51000000001</v>
      </c>
      <c r="O194" s="105">
        <f t="shared" si="9"/>
        <v>4026154.39</v>
      </c>
      <c r="P194" s="105">
        <f t="shared" si="9"/>
        <v>1464704.34</v>
      </c>
      <c r="Q194" s="112">
        <v>1157726.64</v>
      </c>
      <c r="R194" s="105">
        <f t="shared" si="9"/>
        <v>2643720</v>
      </c>
      <c r="S194" s="841">
        <f t="shared" si="9"/>
        <v>86159192.57</v>
      </c>
      <c r="T194" s="57"/>
    </row>
    <row r="195" spans="1:21" ht="29.25" customHeight="1" thickBot="1">
      <c r="A195" s="1083" t="s">
        <v>52</v>
      </c>
      <c r="B195" s="1084"/>
      <c r="C195" s="106">
        <f aca="true" t="shared" si="10" ref="C195:S195">C4+C193</f>
        <v>12717591</v>
      </c>
      <c r="D195" s="106">
        <f t="shared" si="10"/>
        <v>5010470</v>
      </c>
      <c r="E195" s="106">
        <f t="shared" si="10"/>
        <v>14664861</v>
      </c>
      <c r="F195" s="106">
        <f t="shared" si="10"/>
        <v>12995998</v>
      </c>
      <c r="G195" s="106">
        <f t="shared" si="10"/>
        <v>4366758</v>
      </c>
      <c r="H195" s="106">
        <f t="shared" si="10"/>
        <v>10015215</v>
      </c>
      <c r="I195" s="113">
        <f t="shared" si="10"/>
        <v>0</v>
      </c>
      <c r="J195" s="106">
        <f t="shared" si="10"/>
        <v>4072958</v>
      </c>
      <c r="K195" s="842">
        <f t="shared" si="10"/>
        <v>2976577</v>
      </c>
      <c r="L195" s="106">
        <f t="shared" si="10"/>
        <v>44887</v>
      </c>
      <c r="M195" s="106">
        <f t="shared" si="10"/>
        <v>1041591.84</v>
      </c>
      <c r="N195" s="106">
        <f t="shared" si="10"/>
        <v>95251.51000000001</v>
      </c>
      <c r="O195" s="106">
        <f t="shared" si="10"/>
        <v>3827060.39</v>
      </c>
      <c r="P195" s="106">
        <f t="shared" si="10"/>
        <v>1455182.34</v>
      </c>
      <c r="Q195" s="113">
        <v>957726.6399999999</v>
      </c>
      <c r="R195" s="106">
        <f t="shared" si="10"/>
        <v>0</v>
      </c>
      <c r="S195" s="842">
        <f t="shared" si="10"/>
        <v>74242127.72</v>
      </c>
      <c r="T195" s="107"/>
      <c r="U195" s="491"/>
    </row>
    <row r="196" spans="1:20" s="9" customFormat="1" ht="14.25" customHeight="1">
      <c r="A196" s="3"/>
      <c r="B196" s="14"/>
      <c r="C196" s="15">
        <f>'súhrnná po AS'!B7</f>
        <v>13601669.219999999</v>
      </c>
      <c r="D196" s="15">
        <f aca="true" t="shared" si="11" ref="D196:S196">D192+D4</f>
        <v>6234489.5</v>
      </c>
      <c r="E196" s="15">
        <f t="shared" si="11"/>
        <v>16602457.21</v>
      </c>
      <c r="F196" s="15">
        <f t="shared" si="11"/>
        <v>15096298.33</v>
      </c>
      <c r="G196" s="15">
        <f t="shared" si="11"/>
        <v>4401694.52</v>
      </c>
      <c r="H196" s="15">
        <f t="shared" si="11"/>
        <v>10705957.58</v>
      </c>
      <c r="I196" s="15">
        <f t="shared" si="11"/>
        <v>148367.49</v>
      </c>
      <c r="J196" s="846">
        <f t="shared" si="11"/>
        <v>4273974</v>
      </c>
      <c r="K196" s="15">
        <f t="shared" si="11"/>
        <v>4598904</v>
      </c>
      <c r="L196" s="15">
        <f t="shared" si="11"/>
        <v>54845</v>
      </c>
      <c r="M196" s="15">
        <f t="shared" si="11"/>
        <v>1052978.8399999999</v>
      </c>
      <c r="N196" s="15">
        <f t="shared" si="11"/>
        <v>95251.51000000001</v>
      </c>
      <c r="O196" s="15">
        <f t="shared" si="11"/>
        <v>4026154.39</v>
      </c>
      <c r="P196" s="15">
        <f t="shared" si="11"/>
        <v>1464704.34</v>
      </c>
      <c r="Q196" s="15">
        <v>1157726.64</v>
      </c>
      <c r="R196" s="15">
        <f t="shared" si="11"/>
        <v>2643720</v>
      </c>
      <c r="S196" s="15">
        <f t="shared" si="11"/>
        <v>86159192.57</v>
      </c>
      <c r="T196" s="57"/>
    </row>
    <row r="197" spans="1:20" s="17" customFormat="1" ht="13.5" thickBot="1">
      <c r="A197" s="70"/>
      <c r="B197" s="1"/>
      <c r="C197" s="18">
        <f aca="true" t="shared" si="12" ref="C197:J197">C196-C194</f>
        <v>0</v>
      </c>
      <c r="D197" s="18">
        <f t="shared" si="12"/>
        <v>0</v>
      </c>
      <c r="E197" s="18">
        <f t="shared" si="12"/>
        <v>0</v>
      </c>
      <c r="F197" s="18">
        <f t="shared" si="12"/>
        <v>0</v>
      </c>
      <c r="G197" s="18">
        <f t="shared" si="12"/>
        <v>0</v>
      </c>
      <c r="H197" s="18">
        <f t="shared" si="12"/>
        <v>0</v>
      </c>
      <c r="I197" s="18">
        <f t="shared" si="12"/>
        <v>0</v>
      </c>
      <c r="J197" s="847">
        <f t="shared" si="12"/>
        <v>0</v>
      </c>
      <c r="K197" s="18">
        <f aca="true" t="shared" si="13" ref="K197:S197">K196-K194</f>
        <v>0</v>
      </c>
      <c r="L197" s="18">
        <f t="shared" si="13"/>
        <v>0</v>
      </c>
      <c r="M197" s="18">
        <f t="shared" si="13"/>
        <v>0</v>
      </c>
      <c r="N197" s="18">
        <f t="shared" si="13"/>
        <v>0</v>
      </c>
      <c r="O197" s="18">
        <f t="shared" si="13"/>
        <v>0</v>
      </c>
      <c r="P197" s="18">
        <f t="shared" si="13"/>
        <v>0</v>
      </c>
      <c r="Q197" s="18">
        <v>0</v>
      </c>
      <c r="R197" s="18">
        <f t="shared" si="13"/>
        <v>0</v>
      </c>
      <c r="S197" s="18">
        <f t="shared" si="13"/>
        <v>0</v>
      </c>
      <c r="T197" s="69"/>
    </row>
    <row r="198" spans="1:20" s="17" customFormat="1" ht="13.5" thickBot="1">
      <c r="A198" s="71" t="s">
        <v>39</v>
      </c>
      <c r="B198" s="16"/>
      <c r="C198" s="35">
        <f>C194-'súhrnná po AS'!B7</f>
        <v>0</v>
      </c>
      <c r="D198" s="35">
        <f>D194-'súhrnná po AS'!C7</f>
        <v>0</v>
      </c>
      <c r="E198" s="35">
        <f>E194-'súhrnná po AS'!D7</f>
        <v>0</v>
      </c>
      <c r="F198" s="35">
        <f>F194-'súhrnná po AS'!E7</f>
        <v>0</v>
      </c>
      <c r="G198" s="35">
        <f>G194-'súhrnná po AS'!F7</f>
        <v>0</v>
      </c>
      <c r="H198" s="35">
        <f>H194-'súhrnná po AS'!G7</f>
        <v>0</v>
      </c>
      <c r="I198" s="35">
        <f>I194-'súhrnná po AS'!H7</f>
        <v>0</v>
      </c>
      <c r="J198" s="848">
        <f>J194-'súhrnná po AS'!I7</f>
        <v>0</v>
      </c>
      <c r="K198" s="35">
        <f>K194-'súhrnná po AS'!M7</f>
        <v>0</v>
      </c>
      <c r="L198" s="35">
        <f>L194-'súhrnná po AS'!N7</f>
        <v>0</v>
      </c>
      <c r="M198" s="35">
        <f>M194-'súhrnná po AS'!J7</f>
        <v>0</v>
      </c>
      <c r="N198" s="35">
        <f>N194-'súhrnná po AS'!K7</f>
        <v>0</v>
      </c>
      <c r="O198" s="35">
        <f>O194-'súhrnná po AS'!O7</f>
        <v>0</v>
      </c>
      <c r="P198" s="959">
        <f>P194-'súhrnná po AS'!P7</f>
        <v>0</v>
      </c>
      <c r="Q198" s="35">
        <v>0</v>
      </c>
      <c r="R198" s="35">
        <f>R194-'súhrnná po AS'!R7</f>
        <v>0</v>
      </c>
      <c r="S198" s="35">
        <f>S194-'súhrnná po AS'!S7</f>
        <v>0</v>
      </c>
      <c r="T198" s="69">
        <f>SUM(T11:T197)</f>
        <v>5417146.0200000005</v>
      </c>
    </row>
    <row r="199" spans="1:20" ht="16.5" customHeight="1" thickBot="1">
      <c r="A199" s="46" t="s">
        <v>26</v>
      </c>
      <c r="B199" s="46"/>
      <c r="C199" s="18"/>
      <c r="D199" s="173"/>
      <c r="E199" s="18"/>
      <c r="F199" s="18"/>
      <c r="G199" s="173"/>
      <c r="H199" s="18"/>
      <c r="I199" s="18"/>
      <c r="J199" s="847"/>
      <c r="K199" s="18"/>
      <c r="L199" s="18"/>
      <c r="M199" s="18"/>
      <c r="N199" s="18"/>
      <c r="O199" s="18"/>
      <c r="P199" s="18"/>
      <c r="Q199" s="18"/>
      <c r="R199" s="18"/>
      <c r="S199" s="18"/>
      <c r="T199" s="57"/>
    </row>
    <row r="200" spans="1:20" ht="13.5" thickBot="1">
      <c r="A200" s="55"/>
      <c r="B200" s="72"/>
      <c r="C200" s="138" t="s">
        <v>1</v>
      </c>
      <c r="D200" s="144" t="s">
        <v>2</v>
      </c>
      <c r="E200" s="144" t="s">
        <v>3</v>
      </c>
      <c r="F200" s="144" t="s">
        <v>4</v>
      </c>
      <c r="G200" s="144" t="s">
        <v>5</v>
      </c>
      <c r="H200" s="144" t="s">
        <v>6</v>
      </c>
      <c r="I200" s="146"/>
      <c r="J200" s="144" t="s">
        <v>7</v>
      </c>
      <c r="K200" s="146" t="s">
        <v>17</v>
      </c>
      <c r="L200" s="144" t="s">
        <v>46</v>
      </c>
      <c r="M200" s="146" t="s">
        <v>9</v>
      </c>
      <c r="N200" s="144" t="s">
        <v>87</v>
      </c>
      <c r="O200" s="144" t="s">
        <v>18</v>
      </c>
      <c r="P200" s="144" t="s">
        <v>89</v>
      </c>
      <c r="Q200" s="146" t="s">
        <v>90</v>
      </c>
      <c r="R200" s="144" t="s">
        <v>175</v>
      </c>
      <c r="S200" s="73" t="s">
        <v>19</v>
      </c>
      <c r="T200" s="57">
        <f>P198+Q198</f>
        <v>0</v>
      </c>
    </row>
    <row r="201" spans="1:20" ht="21" customHeight="1" thickBot="1">
      <c r="A201" s="44" t="s">
        <v>161</v>
      </c>
      <c r="B201" s="74"/>
      <c r="C201" s="139">
        <v>0</v>
      </c>
      <c r="D201" s="76">
        <v>0</v>
      </c>
      <c r="E201" s="76">
        <v>0</v>
      </c>
      <c r="F201" s="76">
        <v>0</v>
      </c>
      <c r="G201" s="76">
        <v>0</v>
      </c>
      <c r="H201" s="76">
        <v>0</v>
      </c>
      <c r="I201" s="139">
        <v>0</v>
      </c>
      <c r="J201" s="76">
        <v>0</v>
      </c>
      <c r="K201" s="147">
        <v>0</v>
      </c>
      <c r="L201" s="76">
        <v>0</v>
      </c>
      <c r="M201" s="147">
        <v>0</v>
      </c>
      <c r="N201" s="76">
        <v>0</v>
      </c>
      <c r="O201" s="76">
        <v>0</v>
      </c>
      <c r="P201" s="76">
        <v>0</v>
      </c>
      <c r="Q201" s="75">
        <v>0</v>
      </c>
      <c r="R201" s="147">
        <v>0</v>
      </c>
      <c r="S201" s="76">
        <f>SUM(C201:R201)</f>
        <v>0</v>
      </c>
      <c r="T201" s="57"/>
    </row>
    <row r="202" spans="1:20" ht="21" customHeight="1" thickBot="1">
      <c r="A202" s="1085" t="s">
        <v>27</v>
      </c>
      <c r="B202" s="1086"/>
      <c r="C202" s="59">
        <f>C228</f>
        <v>0</v>
      </c>
      <c r="D202" s="59">
        <f aca="true" t="shared" si="14" ref="D202:R202">D228</f>
        <v>53850</v>
      </c>
      <c r="E202" s="59">
        <f t="shared" si="14"/>
        <v>250000</v>
      </c>
      <c r="F202" s="59">
        <f t="shared" si="14"/>
        <v>5700</v>
      </c>
      <c r="G202" s="59">
        <f t="shared" si="14"/>
        <v>0</v>
      </c>
      <c r="H202" s="59">
        <f t="shared" si="14"/>
        <v>83550</v>
      </c>
      <c r="I202" s="806">
        <f t="shared" si="14"/>
        <v>0</v>
      </c>
      <c r="J202" s="59">
        <f t="shared" si="14"/>
        <v>0</v>
      </c>
      <c r="K202" s="192">
        <f t="shared" si="14"/>
        <v>0</v>
      </c>
      <c r="L202" s="59">
        <f t="shared" si="14"/>
        <v>0</v>
      </c>
      <c r="M202" s="59">
        <f t="shared" si="14"/>
        <v>0</v>
      </c>
      <c r="N202" s="59">
        <f t="shared" si="14"/>
        <v>0</v>
      </c>
      <c r="O202" s="59">
        <f t="shared" si="14"/>
        <v>0</v>
      </c>
      <c r="P202" s="59">
        <f t="shared" si="14"/>
        <v>0</v>
      </c>
      <c r="Q202" s="59">
        <v>0</v>
      </c>
      <c r="R202" s="59">
        <f t="shared" si="14"/>
        <v>0</v>
      </c>
      <c r="S202" s="192">
        <f>S228</f>
        <v>393100</v>
      </c>
      <c r="T202" s="57"/>
    </row>
    <row r="203" spans="1:20" ht="12.75">
      <c r="A203" s="45" t="s">
        <v>44</v>
      </c>
      <c r="B203" s="60" t="s">
        <v>20</v>
      </c>
      <c r="C203" s="188"/>
      <c r="D203" s="41"/>
      <c r="E203" s="41"/>
      <c r="F203" s="41"/>
      <c r="G203" s="41"/>
      <c r="H203" s="41"/>
      <c r="I203" s="190"/>
      <c r="J203" s="41"/>
      <c r="K203" s="190"/>
      <c r="L203" s="41"/>
      <c r="M203" s="190"/>
      <c r="N203" s="41"/>
      <c r="O203" s="41"/>
      <c r="P203" s="41"/>
      <c r="Q203" s="189"/>
      <c r="R203" s="136"/>
      <c r="S203" s="191"/>
      <c r="T203" s="57"/>
    </row>
    <row r="204" spans="1:20" ht="12.75">
      <c r="A204" s="541" t="s">
        <v>49</v>
      </c>
      <c r="B204" s="205" t="s">
        <v>56</v>
      </c>
      <c r="C204" s="140"/>
      <c r="D204" s="77">
        <f>53850</f>
        <v>53850</v>
      </c>
      <c r="E204" s="77"/>
      <c r="F204" s="77"/>
      <c r="G204" s="77"/>
      <c r="H204" s="77"/>
      <c r="I204" s="148"/>
      <c r="J204" s="77"/>
      <c r="K204" s="148"/>
      <c r="L204" s="38"/>
      <c r="M204" s="132"/>
      <c r="N204" s="38"/>
      <c r="O204" s="38"/>
      <c r="P204" s="38"/>
      <c r="Q204" s="132"/>
      <c r="R204" s="686"/>
      <c r="S204" s="683">
        <f aca="true" t="shared" si="15" ref="S204:S224">SUM(C204:Q204)</f>
        <v>53850</v>
      </c>
      <c r="T204" s="57"/>
    </row>
    <row r="205" spans="1:20" ht="12.75">
      <c r="A205" s="542" t="s">
        <v>45</v>
      </c>
      <c r="B205" s="205" t="s">
        <v>48</v>
      </c>
      <c r="C205" s="121"/>
      <c r="D205" s="78"/>
      <c r="E205" s="78"/>
      <c r="F205" s="78">
        <v>5700</v>
      </c>
      <c r="G205" s="78"/>
      <c r="H205" s="78">
        <f>83550</f>
        <v>83550</v>
      </c>
      <c r="I205" s="134"/>
      <c r="J205" s="78"/>
      <c r="K205" s="134"/>
      <c r="L205" s="77"/>
      <c r="M205" s="148"/>
      <c r="N205" s="77"/>
      <c r="O205" s="77"/>
      <c r="P205" s="77"/>
      <c r="Q205" s="148"/>
      <c r="R205" s="686"/>
      <c r="S205" s="683">
        <f t="shared" si="15"/>
        <v>89250</v>
      </c>
      <c r="T205" s="57"/>
    </row>
    <row r="206" spans="1:20" ht="24">
      <c r="A206" s="543" t="s">
        <v>141</v>
      </c>
      <c r="B206" s="174" t="s">
        <v>72</v>
      </c>
      <c r="C206" s="141"/>
      <c r="D206" s="12"/>
      <c r="E206" s="12"/>
      <c r="F206" s="12">
        <v>150000</v>
      </c>
      <c r="G206" s="12"/>
      <c r="H206" s="12"/>
      <c r="I206" s="133"/>
      <c r="J206" s="12"/>
      <c r="K206" s="133"/>
      <c r="L206" s="12"/>
      <c r="M206" s="133"/>
      <c r="N206" s="12"/>
      <c r="O206" s="12"/>
      <c r="P206" s="12"/>
      <c r="Q206" s="133"/>
      <c r="R206" s="687"/>
      <c r="S206" s="683">
        <f t="shared" si="15"/>
        <v>150000</v>
      </c>
      <c r="T206" s="57"/>
    </row>
    <row r="207" spans="1:20" ht="36">
      <c r="A207" s="543" t="s">
        <v>144</v>
      </c>
      <c r="B207" s="174" t="s">
        <v>72</v>
      </c>
      <c r="C207" s="141"/>
      <c r="D207" s="12"/>
      <c r="E207" s="12">
        <v>250000</v>
      </c>
      <c r="F207" s="12"/>
      <c r="G207" s="12"/>
      <c r="H207" s="12"/>
      <c r="I207" s="133"/>
      <c r="J207" s="12"/>
      <c r="K207" s="133"/>
      <c r="L207" s="12"/>
      <c r="M207" s="133"/>
      <c r="N207" s="12"/>
      <c r="O207" s="12"/>
      <c r="P207" s="12"/>
      <c r="Q207" s="133"/>
      <c r="R207" s="687"/>
      <c r="S207" s="683">
        <f t="shared" si="15"/>
        <v>250000</v>
      </c>
      <c r="T207" s="57"/>
    </row>
    <row r="208" spans="1:20" ht="12.75">
      <c r="A208" s="544"/>
      <c r="B208" s="193"/>
      <c r="C208" s="141"/>
      <c r="D208" s="12"/>
      <c r="E208" s="12"/>
      <c r="F208" s="12"/>
      <c r="G208" s="12"/>
      <c r="H208" s="12"/>
      <c r="I208" s="133"/>
      <c r="J208" s="12"/>
      <c r="K208" s="133"/>
      <c r="L208" s="12"/>
      <c r="M208" s="133"/>
      <c r="N208" s="12"/>
      <c r="O208" s="12"/>
      <c r="P208" s="12"/>
      <c r="Q208" s="133"/>
      <c r="R208" s="687"/>
      <c r="S208" s="683">
        <f t="shared" si="15"/>
        <v>0</v>
      </c>
      <c r="T208" s="57"/>
    </row>
    <row r="209" spans="1:20" ht="12.75" hidden="1">
      <c r="A209" s="79"/>
      <c r="B209" s="193"/>
      <c r="C209" s="141"/>
      <c r="D209" s="12"/>
      <c r="E209" s="12"/>
      <c r="F209" s="12"/>
      <c r="G209" s="12"/>
      <c r="H209" s="12"/>
      <c r="I209" s="133"/>
      <c r="J209" s="12"/>
      <c r="K209" s="133"/>
      <c r="L209" s="12"/>
      <c r="M209" s="133"/>
      <c r="N209" s="12"/>
      <c r="O209" s="12"/>
      <c r="P209" s="12"/>
      <c r="Q209" s="133"/>
      <c r="R209" s="687"/>
      <c r="S209" s="683">
        <f t="shared" si="15"/>
        <v>0</v>
      </c>
      <c r="T209" s="57"/>
    </row>
    <row r="210" spans="1:20" ht="12.75" hidden="1">
      <c r="A210" s="196"/>
      <c r="B210" s="194"/>
      <c r="C210" s="141"/>
      <c r="D210" s="12"/>
      <c r="E210" s="12"/>
      <c r="F210" s="12"/>
      <c r="G210" s="12"/>
      <c r="H210" s="12"/>
      <c r="I210" s="133"/>
      <c r="J210" s="12"/>
      <c r="K210" s="133"/>
      <c r="L210" s="12"/>
      <c r="M210" s="133"/>
      <c r="N210" s="12"/>
      <c r="O210" s="12"/>
      <c r="P210" s="12"/>
      <c r="Q210" s="133"/>
      <c r="R210" s="687"/>
      <c r="S210" s="683">
        <f t="shared" si="15"/>
        <v>0</v>
      </c>
      <c r="T210" s="57"/>
    </row>
    <row r="211" spans="1:20" ht="12.75" hidden="1">
      <c r="A211" s="79"/>
      <c r="B211" s="193"/>
      <c r="C211" s="141"/>
      <c r="D211" s="12"/>
      <c r="E211" s="12"/>
      <c r="F211" s="12"/>
      <c r="G211" s="12"/>
      <c r="H211" s="12"/>
      <c r="I211" s="133"/>
      <c r="J211" s="12"/>
      <c r="K211" s="133"/>
      <c r="L211" s="12"/>
      <c r="M211" s="133"/>
      <c r="N211" s="12"/>
      <c r="O211" s="12"/>
      <c r="P211" s="12"/>
      <c r="Q211" s="133"/>
      <c r="R211" s="687"/>
      <c r="S211" s="683">
        <f t="shared" si="15"/>
        <v>0</v>
      </c>
      <c r="T211" s="57"/>
    </row>
    <row r="212" spans="1:20" ht="12.75" hidden="1">
      <c r="A212" s="197"/>
      <c r="B212" s="195"/>
      <c r="C212" s="141"/>
      <c r="D212" s="12"/>
      <c r="E212" s="12"/>
      <c r="F212" s="12"/>
      <c r="G212" s="12"/>
      <c r="H212" s="12"/>
      <c r="I212" s="133"/>
      <c r="J212" s="12"/>
      <c r="K212" s="133"/>
      <c r="L212" s="12"/>
      <c r="M212" s="133"/>
      <c r="N212" s="12"/>
      <c r="O212" s="12"/>
      <c r="P212" s="12"/>
      <c r="Q212" s="133"/>
      <c r="R212" s="687"/>
      <c r="S212" s="683">
        <f t="shared" si="15"/>
        <v>0</v>
      </c>
      <c r="T212" s="57"/>
    </row>
    <row r="213" spans="1:20" ht="15" customHeight="1" hidden="1">
      <c r="A213" s="197"/>
      <c r="B213" s="195"/>
      <c r="C213" s="141"/>
      <c r="D213" s="12"/>
      <c r="E213" s="12"/>
      <c r="F213" s="12"/>
      <c r="G213" s="12"/>
      <c r="H213" s="12"/>
      <c r="I213" s="133"/>
      <c r="J213" s="12"/>
      <c r="K213" s="133"/>
      <c r="L213" s="12"/>
      <c r="M213" s="133"/>
      <c r="N213" s="12"/>
      <c r="O213" s="12"/>
      <c r="P213" s="12"/>
      <c r="Q213" s="133"/>
      <c r="R213" s="687"/>
      <c r="S213" s="683">
        <f t="shared" si="15"/>
        <v>0</v>
      </c>
      <c r="T213" s="57"/>
    </row>
    <row r="214" spans="1:20" ht="15.75" customHeight="1" hidden="1">
      <c r="A214" s="197"/>
      <c r="B214" s="195"/>
      <c r="C214" s="141"/>
      <c r="D214" s="12"/>
      <c r="E214" s="12"/>
      <c r="F214" s="12"/>
      <c r="G214" s="12"/>
      <c r="H214" s="12"/>
      <c r="I214" s="133"/>
      <c r="J214" s="12"/>
      <c r="K214" s="133"/>
      <c r="L214" s="12"/>
      <c r="M214" s="133"/>
      <c r="N214" s="12"/>
      <c r="O214" s="12"/>
      <c r="P214" s="12"/>
      <c r="Q214" s="133"/>
      <c r="R214" s="687"/>
      <c r="S214" s="683">
        <f t="shared" si="15"/>
        <v>0</v>
      </c>
      <c r="T214" s="57"/>
    </row>
    <row r="215" spans="1:20" ht="12.75" hidden="1">
      <c r="A215" s="79"/>
      <c r="B215" s="193"/>
      <c r="C215" s="141"/>
      <c r="D215" s="12"/>
      <c r="E215" s="12"/>
      <c r="F215" s="12"/>
      <c r="G215" s="12"/>
      <c r="H215" s="12"/>
      <c r="I215" s="133"/>
      <c r="J215" s="12"/>
      <c r="K215" s="133"/>
      <c r="L215" s="12"/>
      <c r="M215" s="133"/>
      <c r="N215" s="12"/>
      <c r="O215" s="12"/>
      <c r="P215" s="12"/>
      <c r="Q215" s="133"/>
      <c r="R215" s="687"/>
      <c r="S215" s="683">
        <f t="shared" si="15"/>
        <v>0</v>
      </c>
      <c r="T215" s="57"/>
    </row>
    <row r="216" spans="1:20" ht="12.75" hidden="1">
      <c r="A216" s="79"/>
      <c r="B216" s="193"/>
      <c r="C216" s="141"/>
      <c r="D216" s="12"/>
      <c r="E216" s="12"/>
      <c r="F216" s="12"/>
      <c r="G216" s="12"/>
      <c r="H216" s="12"/>
      <c r="I216" s="133"/>
      <c r="J216" s="12"/>
      <c r="K216" s="133"/>
      <c r="L216" s="12"/>
      <c r="M216" s="133"/>
      <c r="N216" s="12"/>
      <c r="O216" s="12"/>
      <c r="P216" s="12"/>
      <c r="Q216" s="133"/>
      <c r="R216" s="687"/>
      <c r="S216" s="683">
        <f t="shared" si="15"/>
        <v>0</v>
      </c>
      <c r="T216" s="57"/>
    </row>
    <row r="217" spans="1:20" ht="13.5" customHeight="1" hidden="1">
      <c r="A217" s="79"/>
      <c r="B217" s="193"/>
      <c r="C217" s="141"/>
      <c r="D217" s="12"/>
      <c r="E217" s="12"/>
      <c r="F217" s="12"/>
      <c r="G217" s="12"/>
      <c r="H217" s="12"/>
      <c r="I217" s="133"/>
      <c r="J217" s="12"/>
      <c r="K217" s="133"/>
      <c r="L217" s="12"/>
      <c r="M217" s="133"/>
      <c r="N217" s="12"/>
      <c r="O217" s="12"/>
      <c r="P217" s="12"/>
      <c r="Q217" s="133"/>
      <c r="R217" s="687"/>
      <c r="S217" s="683">
        <f t="shared" si="15"/>
        <v>0</v>
      </c>
      <c r="T217" s="57"/>
    </row>
    <row r="218" spans="1:20" ht="0.75" customHeight="1" hidden="1">
      <c r="A218" s="79"/>
      <c r="B218" s="193"/>
      <c r="C218" s="141"/>
      <c r="D218" s="12"/>
      <c r="E218" s="12"/>
      <c r="F218" s="12"/>
      <c r="G218" s="12"/>
      <c r="H218" s="12"/>
      <c r="I218" s="133"/>
      <c r="J218" s="12"/>
      <c r="K218" s="133"/>
      <c r="L218" s="12"/>
      <c r="M218" s="133"/>
      <c r="N218" s="12"/>
      <c r="O218" s="12"/>
      <c r="P218" s="12"/>
      <c r="Q218" s="133"/>
      <c r="R218" s="687"/>
      <c r="S218" s="683">
        <f t="shared" si="15"/>
        <v>0</v>
      </c>
      <c r="T218" s="57"/>
    </row>
    <row r="219" spans="1:20" ht="13.5" customHeight="1" hidden="1">
      <c r="A219" s="79"/>
      <c r="B219" s="193"/>
      <c r="C219" s="141"/>
      <c r="D219" s="12"/>
      <c r="E219" s="12"/>
      <c r="F219" s="12"/>
      <c r="G219" s="12"/>
      <c r="H219" s="12"/>
      <c r="I219" s="133"/>
      <c r="J219" s="12"/>
      <c r="K219" s="133"/>
      <c r="L219" s="12"/>
      <c r="M219" s="133"/>
      <c r="N219" s="12"/>
      <c r="O219" s="12"/>
      <c r="P219" s="12"/>
      <c r="Q219" s="133"/>
      <c r="R219" s="687"/>
      <c r="S219" s="683">
        <f t="shared" si="15"/>
        <v>0</v>
      </c>
      <c r="T219" s="57"/>
    </row>
    <row r="220" spans="1:20" ht="15.75" customHeight="1" hidden="1">
      <c r="A220" s="197"/>
      <c r="B220" s="193"/>
      <c r="C220" s="121"/>
      <c r="D220" s="78"/>
      <c r="E220" s="78"/>
      <c r="F220" s="78"/>
      <c r="G220" s="78"/>
      <c r="H220" s="78"/>
      <c r="I220" s="134"/>
      <c r="J220" s="78"/>
      <c r="K220" s="134"/>
      <c r="L220" s="78"/>
      <c r="M220" s="134"/>
      <c r="N220" s="78"/>
      <c r="O220" s="78"/>
      <c r="P220" s="78"/>
      <c r="Q220" s="134"/>
      <c r="R220" s="687"/>
      <c r="S220" s="683">
        <f t="shared" si="15"/>
        <v>0</v>
      </c>
      <c r="T220" s="57"/>
    </row>
    <row r="221" spans="1:20" ht="12.75" customHeight="1" hidden="1">
      <c r="A221" s="79"/>
      <c r="B221" s="187"/>
      <c r="C221" s="141"/>
      <c r="D221" s="12"/>
      <c r="E221" s="12"/>
      <c r="F221" s="12"/>
      <c r="G221" s="12"/>
      <c r="H221" s="12"/>
      <c r="I221" s="133"/>
      <c r="J221" s="12"/>
      <c r="K221" s="133"/>
      <c r="L221" s="12"/>
      <c r="M221" s="133"/>
      <c r="N221" s="12"/>
      <c r="O221" s="12"/>
      <c r="P221" s="12"/>
      <c r="Q221" s="133"/>
      <c r="R221" s="687"/>
      <c r="S221" s="683">
        <f t="shared" si="15"/>
        <v>0</v>
      </c>
      <c r="T221" s="57"/>
    </row>
    <row r="222" spans="1:20" ht="16.5" customHeight="1" hidden="1">
      <c r="A222" s="197"/>
      <c r="B222" s="195"/>
      <c r="C222" s="121"/>
      <c r="D222" s="78"/>
      <c r="E222" s="37"/>
      <c r="F222" s="37"/>
      <c r="G222" s="78"/>
      <c r="H222" s="78"/>
      <c r="I222" s="134"/>
      <c r="J222" s="78"/>
      <c r="K222" s="134"/>
      <c r="L222" s="78"/>
      <c r="M222" s="134"/>
      <c r="N222" s="78"/>
      <c r="O222" s="78"/>
      <c r="P222" s="78"/>
      <c r="Q222" s="134"/>
      <c r="R222" s="687"/>
      <c r="S222" s="684">
        <f t="shared" si="15"/>
        <v>0</v>
      </c>
      <c r="T222" s="57"/>
    </row>
    <row r="223" spans="1:20" ht="13.5" hidden="1" thickBot="1">
      <c r="A223" s="197"/>
      <c r="B223" s="195"/>
      <c r="C223" s="110"/>
      <c r="D223" s="66"/>
      <c r="E223" s="66"/>
      <c r="F223" s="81"/>
      <c r="G223" s="66"/>
      <c r="H223" s="66"/>
      <c r="I223" s="119"/>
      <c r="J223" s="66"/>
      <c r="K223" s="119"/>
      <c r="L223" s="66"/>
      <c r="M223" s="119"/>
      <c r="N223" s="66"/>
      <c r="O223" s="66"/>
      <c r="P223" s="66"/>
      <c r="Q223" s="119"/>
      <c r="R223" s="687"/>
      <c r="S223" s="684">
        <f t="shared" si="15"/>
        <v>0</v>
      </c>
      <c r="T223" s="57"/>
    </row>
    <row r="224" spans="1:20" ht="15.75" customHeight="1" thickBot="1">
      <c r="A224" s="198"/>
      <c r="B224" s="252"/>
      <c r="C224" s="142"/>
      <c r="D224" s="137"/>
      <c r="E224" s="145"/>
      <c r="F224" s="145"/>
      <c r="G224" s="137"/>
      <c r="H224" s="137"/>
      <c r="I224" s="82"/>
      <c r="J224" s="137"/>
      <c r="K224" s="82"/>
      <c r="L224" s="137"/>
      <c r="M224" s="82"/>
      <c r="N224" s="137"/>
      <c r="O224" s="137"/>
      <c r="P224" s="137"/>
      <c r="Q224" s="82"/>
      <c r="R224" s="688"/>
      <c r="S224" s="685">
        <f t="shared" si="15"/>
        <v>0</v>
      </c>
      <c r="T224" s="57"/>
    </row>
    <row r="225" spans="1:20" ht="18" customHeight="1" thickBot="1">
      <c r="A225" s="83" t="s">
        <v>24</v>
      </c>
      <c r="B225" s="84"/>
      <c r="C225" s="143">
        <f aca="true" t="shared" si="16" ref="C225:R225">SUM(C204:C224)</f>
        <v>0</v>
      </c>
      <c r="D225" s="143">
        <f t="shared" si="16"/>
        <v>53850</v>
      </c>
      <c r="E225" s="143">
        <f t="shared" si="16"/>
        <v>250000</v>
      </c>
      <c r="F225" s="143">
        <f t="shared" si="16"/>
        <v>155700</v>
      </c>
      <c r="G225" s="143">
        <f t="shared" si="16"/>
        <v>0</v>
      </c>
      <c r="H225" s="143">
        <f t="shared" si="16"/>
        <v>83550</v>
      </c>
      <c r="I225" s="143">
        <f t="shared" si="16"/>
        <v>0</v>
      </c>
      <c r="J225" s="849">
        <f t="shared" si="16"/>
        <v>0</v>
      </c>
      <c r="K225" s="843">
        <f t="shared" si="16"/>
        <v>0</v>
      </c>
      <c r="L225" s="143">
        <f t="shared" si="16"/>
        <v>0</v>
      </c>
      <c r="M225" s="143">
        <f t="shared" si="16"/>
        <v>0</v>
      </c>
      <c r="N225" s="143">
        <f t="shared" si="16"/>
        <v>0</v>
      </c>
      <c r="O225" s="143">
        <f t="shared" si="16"/>
        <v>0</v>
      </c>
      <c r="P225" s="143">
        <f t="shared" si="16"/>
        <v>0</v>
      </c>
      <c r="Q225" s="143">
        <v>0</v>
      </c>
      <c r="R225" s="143">
        <f t="shared" si="16"/>
        <v>0</v>
      </c>
      <c r="S225" s="156">
        <f>SUM(C225:R225)</f>
        <v>543100</v>
      </c>
      <c r="T225" s="57"/>
    </row>
    <row r="226" spans="1:20" ht="18" customHeight="1" thickBot="1">
      <c r="A226" s="85" t="s">
        <v>25</v>
      </c>
      <c r="B226" s="86"/>
      <c r="C226" s="111">
        <f>C225-C206</f>
        <v>0</v>
      </c>
      <c r="D226" s="111">
        <f aca="true" t="shared" si="17" ref="D226:R226">D225-D206</f>
        <v>53850</v>
      </c>
      <c r="E226" s="111">
        <f t="shared" si="17"/>
        <v>250000</v>
      </c>
      <c r="F226" s="111">
        <f t="shared" si="17"/>
        <v>5700</v>
      </c>
      <c r="G226" s="111">
        <f t="shared" si="17"/>
        <v>0</v>
      </c>
      <c r="H226" s="111">
        <f t="shared" si="17"/>
        <v>83550</v>
      </c>
      <c r="I226" s="111">
        <f t="shared" si="17"/>
        <v>0</v>
      </c>
      <c r="J226" s="104">
        <f t="shared" si="17"/>
        <v>0</v>
      </c>
      <c r="K226" s="844">
        <f t="shared" si="17"/>
        <v>0</v>
      </c>
      <c r="L226" s="111">
        <f t="shared" si="17"/>
        <v>0</v>
      </c>
      <c r="M226" s="111">
        <f t="shared" si="17"/>
        <v>0</v>
      </c>
      <c r="N226" s="111">
        <f t="shared" si="17"/>
        <v>0</v>
      </c>
      <c r="O226" s="111">
        <f t="shared" si="17"/>
        <v>0</v>
      </c>
      <c r="P226" s="111">
        <f t="shared" si="17"/>
        <v>0</v>
      </c>
      <c r="Q226" s="111">
        <v>0</v>
      </c>
      <c r="R226" s="111">
        <f t="shared" si="17"/>
        <v>0</v>
      </c>
      <c r="S226" s="104">
        <f>SUM(C226:R226)</f>
        <v>393100</v>
      </c>
      <c r="T226" s="57"/>
    </row>
    <row r="227" spans="1:20" ht="21" customHeight="1" thickBot="1">
      <c r="A227" s="44" t="s">
        <v>85</v>
      </c>
      <c r="B227" s="56"/>
      <c r="C227" s="112">
        <f aca="true" t="shared" si="18" ref="C227:R227">C201+C225</f>
        <v>0</v>
      </c>
      <c r="D227" s="112">
        <f t="shared" si="18"/>
        <v>53850</v>
      </c>
      <c r="E227" s="112">
        <f t="shared" si="18"/>
        <v>250000</v>
      </c>
      <c r="F227" s="112">
        <f t="shared" si="18"/>
        <v>155700</v>
      </c>
      <c r="G227" s="112">
        <f t="shared" si="18"/>
        <v>0</v>
      </c>
      <c r="H227" s="112">
        <f t="shared" si="18"/>
        <v>83550</v>
      </c>
      <c r="I227" s="112">
        <f t="shared" si="18"/>
        <v>0</v>
      </c>
      <c r="J227" s="105">
        <f t="shared" si="18"/>
        <v>0</v>
      </c>
      <c r="K227" s="845">
        <f t="shared" si="18"/>
        <v>0</v>
      </c>
      <c r="L227" s="112">
        <f t="shared" si="18"/>
        <v>0</v>
      </c>
      <c r="M227" s="112">
        <f t="shared" si="18"/>
        <v>0</v>
      </c>
      <c r="N227" s="112">
        <f t="shared" si="18"/>
        <v>0</v>
      </c>
      <c r="O227" s="112">
        <f t="shared" si="18"/>
        <v>0</v>
      </c>
      <c r="P227" s="112">
        <f t="shared" si="18"/>
        <v>0</v>
      </c>
      <c r="Q227" s="112">
        <v>0</v>
      </c>
      <c r="R227" s="112">
        <f t="shared" si="18"/>
        <v>0</v>
      </c>
      <c r="S227" s="68">
        <f>SUM(C227:R227)</f>
        <v>543100</v>
      </c>
      <c r="T227" s="57"/>
    </row>
    <row r="228" spans="1:20" ht="20.25" customHeight="1" thickBot="1">
      <c r="A228" s="1083" t="s">
        <v>53</v>
      </c>
      <c r="B228" s="1084"/>
      <c r="C228" s="113">
        <f aca="true" t="shared" si="19" ref="C228:M228">C201+C226</f>
        <v>0</v>
      </c>
      <c r="D228" s="106">
        <f>D201+D226</f>
        <v>53850</v>
      </c>
      <c r="E228" s="106">
        <f t="shared" si="19"/>
        <v>250000</v>
      </c>
      <c r="F228" s="106">
        <f>F201+F226</f>
        <v>5700</v>
      </c>
      <c r="G228" s="106">
        <f t="shared" si="19"/>
        <v>0</v>
      </c>
      <c r="H228" s="106">
        <f t="shared" si="19"/>
        <v>83550</v>
      </c>
      <c r="I228" s="113">
        <f t="shared" si="19"/>
        <v>0</v>
      </c>
      <c r="J228" s="106">
        <f t="shared" si="19"/>
        <v>0</v>
      </c>
      <c r="K228" s="120">
        <f t="shared" si="19"/>
        <v>0</v>
      </c>
      <c r="L228" s="106">
        <f t="shared" si="19"/>
        <v>0</v>
      </c>
      <c r="M228" s="120">
        <f t="shared" si="19"/>
        <v>0</v>
      </c>
      <c r="N228" s="106"/>
      <c r="O228" s="106">
        <f>O201+O226</f>
        <v>0</v>
      </c>
      <c r="P228" s="106">
        <f>P201+P226</f>
        <v>0</v>
      </c>
      <c r="Q228" s="102">
        <v>0</v>
      </c>
      <c r="R228" s="102">
        <f>R201+R226</f>
        <v>0</v>
      </c>
      <c r="S228" s="106">
        <f>SUM(C228:R228)</f>
        <v>393100</v>
      </c>
      <c r="T228" s="87"/>
    </row>
    <row r="229" spans="1:20" s="19" customFormat="1" ht="12.75">
      <c r="A229" s="88"/>
      <c r="B229" s="88" t="s">
        <v>28</v>
      </c>
      <c r="C229" s="89">
        <f aca="true" t="shared" si="20" ref="C229:N229">C227+C194</f>
        <v>13601669.22</v>
      </c>
      <c r="D229" s="89">
        <f t="shared" si="20"/>
        <v>6288339.5</v>
      </c>
      <c r="E229" s="89">
        <f t="shared" si="20"/>
        <v>16852457.21</v>
      </c>
      <c r="F229" s="89">
        <f t="shared" si="20"/>
        <v>15251998.33</v>
      </c>
      <c r="G229" s="89">
        <f t="shared" si="20"/>
        <v>4401694.52</v>
      </c>
      <c r="H229" s="89">
        <f t="shared" si="20"/>
        <v>10789507.58</v>
      </c>
      <c r="I229" s="89">
        <f t="shared" si="20"/>
        <v>148367.49</v>
      </c>
      <c r="J229" s="89">
        <f t="shared" si="20"/>
        <v>4273974</v>
      </c>
      <c r="K229" s="89">
        <f t="shared" si="20"/>
        <v>4598904</v>
      </c>
      <c r="L229" s="89">
        <f t="shared" si="20"/>
        <v>54845</v>
      </c>
      <c r="M229" s="89">
        <f t="shared" si="20"/>
        <v>1052978.8399999999</v>
      </c>
      <c r="N229" s="89">
        <f t="shared" si="20"/>
        <v>95251.51000000001</v>
      </c>
      <c r="O229" s="89">
        <f>O194+O227</f>
        <v>4026154.39</v>
      </c>
      <c r="P229" s="89">
        <f>P194+P227</f>
        <v>1464704.34</v>
      </c>
      <c r="Q229" s="89">
        <v>1157726.64</v>
      </c>
      <c r="R229" s="89">
        <f>R227+R194</f>
        <v>2643720</v>
      </c>
      <c r="S229" s="89">
        <f>S194+S227</f>
        <v>86702292.57</v>
      </c>
      <c r="T229" s="89"/>
    </row>
    <row r="230" spans="1:20" ht="12.75">
      <c r="A230" s="54"/>
      <c r="B230" s="54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57"/>
    </row>
    <row r="231" spans="1:20" ht="12.75">
      <c r="A231" s="54"/>
      <c r="B231" s="54"/>
      <c r="C231" s="57"/>
      <c r="D231" s="57"/>
      <c r="E231" s="57"/>
      <c r="F231" s="57"/>
      <c r="G231" s="57"/>
      <c r="H231" s="57"/>
      <c r="I231" s="57"/>
      <c r="J231" s="57"/>
      <c r="K231" s="57">
        <f>K228-'súhrnná po AS'!M119</f>
        <v>0</v>
      </c>
      <c r="L231" s="57"/>
      <c r="M231" s="57"/>
      <c r="N231" s="57"/>
      <c r="O231" s="57"/>
      <c r="P231" s="57"/>
      <c r="Q231" s="57">
        <v>0</v>
      </c>
      <c r="R231" s="57"/>
      <c r="S231" s="57">
        <f>SUM(C231:Q231)</f>
        <v>0</v>
      </c>
      <c r="T231" s="57"/>
    </row>
    <row r="232" spans="1:20" ht="12.75">
      <c r="A232" s="54"/>
      <c r="B232" s="54"/>
      <c r="C232" s="57"/>
      <c r="D232" s="57"/>
      <c r="E232" s="91"/>
      <c r="F232" s="92"/>
      <c r="G232" s="20"/>
      <c r="H232" s="91"/>
      <c r="I232" s="91"/>
      <c r="J232" s="91"/>
      <c r="K232" s="91"/>
      <c r="L232" s="91"/>
      <c r="M232" s="57"/>
      <c r="N232" s="57"/>
      <c r="O232" s="57"/>
      <c r="P232" s="57"/>
      <c r="Q232" s="57"/>
      <c r="R232" s="57"/>
      <c r="S232" s="57"/>
      <c r="T232" s="57"/>
    </row>
    <row r="233" spans="1:20" ht="12.75">
      <c r="A233" s="54" t="s">
        <v>29</v>
      </c>
      <c r="B233" s="54"/>
      <c r="C233" s="57">
        <f aca="true" t="shared" si="21" ref="C233:R233">C227+C194</f>
        <v>13601669.22</v>
      </c>
      <c r="D233" s="57">
        <f t="shared" si="21"/>
        <v>6288339.5</v>
      </c>
      <c r="E233" s="57">
        <f t="shared" si="21"/>
        <v>16852457.21</v>
      </c>
      <c r="F233" s="57">
        <f t="shared" si="21"/>
        <v>15251998.33</v>
      </c>
      <c r="G233" s="57">
        <f t="shared" si="21"/>
        <v>4401694.52</v>
      </c>
      <c r="H233" s="57">
        <f t="shared" si="21"/>
        <v>10789507.58</v>
      </c>
      <c r="I233" s="57">
        <f t="shared" si="21"/>
        <v>148367.49</v>
      </c>
      <c r="J233" s="57">
        <f t="shared" si="21"/>
        <v>4273974</v>
      </c>
      <c r="K233" s="91">
        <f t="shared" si="21"/>
        <v>4598904</v>
      </c>
      <c r="L233" s="91">
        <f t="shared" si="21"/>
        <v>54845</v>
      </c>
      <c r="M233" s="91">
        <f t="shared" si="21"/>
        <v>1052978.8399999999</v>
      </c>
      <c r="N233" s="91">
        <f t="shared" si="21"/>
        <v>95251.51000000001</v>
      </c>
      <c r="O233" s="91">
        <f t="shared" si="21"/>
        <v>4026154.39</v>
      </c>
      <c r="P233" s="91">
        <f t="shared" si="21"/>
        <v>1464704.34</v>
      </c>
      <c r="Q233" s="91">
        <v>1157726.64</v>
      </c>
      <c r="R233" s="91">
        <f t="shared" si="21"/>
        <v>2643720</v>
      </c>
      <c r="S233" s="57">
        <f>SUM(C233:Q233)</f>
        <v>84058572.57000001</v>
      </c>
      <c r="T233" s="57"/>
    </row>
    <row r="234" spans="1:20" ht="12.75">
      <c r="A234" s="54" t="s">
        <v>30</v>
      </c>
      <c r="B234" s="54"/>
      <c r="C234" s="57"/>
      <c r="D234" s="57"/>
      <c r="E234" s="57"/>
      <c r="F234" s="57"/>
      <c r="G234" s="57"/>
      <c r="H234" s="57"/>
      <c r="I234" s="57"/>
      <c r="J234" s="57"/>
      <c r="K234" s="91"/>
      <c r="L234" s="91"/>
      <c r="M234" s="91"/>
      <c r="N234" s="91"/>
      <c r="O234" s="91"/>
      <c r="P234" s="91"/>
      <c r="Q234" s="91"/>
      <c r="R234" s="91"/>
      <c r="S234" s="57">
        <f>SUM(C234:Q234)</f>
        <v>0</v>
      </c>
      <c r="T234" s="57"/>
    </row>
    <row r="235" spans="1:20" ht="12.75">
      <c r="A235" s="54"/>
      <c r="B235" s="54"/>
      <c r="C235" s="170">
        <f>'súhrnná po AS'!B5</f>
        <v>13601669.219999999</v>
      </c>
      <c r="D235" s="170">
        <f>'súhrnná po AS'!C5</f>
        <v>6288339.5</v>
      </c>
      <c r="E235" s="170">
        <f>'súhrnná po AS'!D5</f>
        <v>16852457.21</v>
      </c>
      <c r="F235" s="170">
        <f>'súhrnná po AS'!E5</f>
        <v>15251998.33</v>
      </c>
      <c r="G235" s="170">
        <f>'súhrnná po AS'!F5</f>
        <v>4401694.52</v>
      </c>
      <c r="H235" s="170">
        <f>'súhrnná po AS'!G5</f>
        <v>10789507.58</v>
      </c>
      <c r="I235" s="170">
        <f>'súhrnná po AS'!H5</f>
        <v>148367.49</v>
      </c>
      <c r="J235" s="170">
        <f>'súhrnná po AS'!I5</f>
        <v>4273974</v>
      </c>
      <c r="K235" s="170">
        <f>'súhrnná po AS'!M5</f>
        <v>4598904</v>
      </c>
      <c r="L235" s="170">
        <f>'súhrnná po AS'!N5</f>
        <v>54845</v>
      </c>
      <c r="M235" s="170">
        <f>'súhrnná po AS'!J5</f>
        <v>1052978.8399999999</v>
      </c>
      <c r="N235" s="170">
        <f>'súhrnná po AS'!K5</f>
        <v>95251.51000000001</v>
      </c>
      <c r="O235" s="170">
        <f>'súhrnná po AS'!O5</f>
        <v>4026154.39</v>
      </c>
      <c r="P235" s="170">
        <f>'súhrnná po AS'!P5</f>
        <v>1464704.34</v>
      </c>
      <c r="Q235" s="170">
        <v>3801446.64</v>
      </c>
      <c r="R235" s="170">
        <f>'súhrnná po AS'!R5</f>
        <v>2643720</v>
      </c>
      <c r="S235" s="170">
        <f>S227-'súhrnná po AS'!S119</f>
        <v>0</v>
      </c>
      <c r="T235" s="57"/>
    </row>
    <row r="236" spans="1:20" ht="12.75">
      <c r="A236" s="54"/>
      <c r="B236" s="54"/>
      <c r="C236" s="57">
        <f aca="true" t="shared" si="22" ref="C236:O236">C233-C235</f>
        <v>0</v>
      </c>
      <c r="D236" s="57">
        <f t="shared" si="22"/>
        <v>0</v>
      </c>
      <c r="E236" s="57">
        <f t="shared" si="22"/>
        <v>0</v>
      </c>
      <c r="F236" s="57">
        <f t="shared" si="22"/>
        <v>0</v>
      </c>
      <c r="G236" s="57">
        <f t="shared" si="22"/>
        <v>0</v>
      </c>
      <c r="H236" s="57">
        <f t="shared" si="22"/>
        <v>0</v>
      </c>
      <c r="I236" s="57">
        <f t="shared" si="22"/>
        <v>0</v>
      </c>
      <c r="J236" s="57">
        <f t="shared" si="22"/>
        <v>0</v>
      </c>
      <c r="K236" s="57">
        <f t="shared" si="22"/>
        <v>0</v>
      </c>
      <c r="L236" s="57">
        <f t="shared" si="22"/>
        <v>0</v>
      </c>
      <c r="M236" s="57">
        <f t="shared" si="22"/>
        <v>0</v>
      </c>
      <c r="N236" s="57">
        <f t="shared" si="22"/>
        <v>0</v>
      </c>
      <c r="O236" s="57">
        <f t="shared" si="22"/>
        <v>0</v>
      </c>
      <c r="P236" s="57">
        <f>P233-P235</f>
        <v>0</v>
      </c>
      <c r="Q236" s="57">
        <v>0</v>
      </c>
      <c r="R236" s="57">
        <f>R227-'súhrnná po AS'!R119</f>
        <v>0</v>
      </c>
      <c r="S236" s="57">
        <f>S227-'súhrnná po AS'!S119</f>
        <v>0</v>
      </c>
      <c r="T236" s="57"/>
    </row>
    <row r="237" spans="1:20" ht="12.75">
      <c r="A237" s="54"/>
      <c r="B237" s="54"/>
      <c r="C237" s="57"/>
      <c r="D237" s="57"/>
      <c r="E237" s="91"/>
      <c r="F237" s="91"/>
      <c r="G237" s="91"/>
      <c r="H237" s="91"/>
      <c r="I237" s="91"/>
      <c r="J237" s="91"/>
      <c r="K237" s="91"/>
      <c r="L237" s="91"/>
      <c r="M237" s="57"/>
      <c r="N237" s="57"/>
      <c r="O237" s="57"/>
      <c r="P237" s="57"/>
      <c r="Q237" s="57"/>
      <c r="R237" s="57"/>
      <c r="S237" s="57"/>
      <c r="T237" s="57"/>
    </row>
    <row r="238" spans="1:20" ht="12.75">
      <c r="A238" s="54" t="s">
        <v>158</v>
      </c>
      <c r="B238" s="54"/>
      <c r="C238" s="57"/>
      <c r="D238" s="57"/>
      <c r="E238" s="91"/>
      <c r="F238" s="91"/>
      <c r="G238" s="91"/>
      <c r="H238" s="91"/>
      <c r="I238" s="91"/>
      <c r="J238" s="91"/>
      <c r="K238" s="91"/>
      <c r="L238" s="91"/>
      <c r="M238" s="57"/>
      <c r="N238" s="57"/>
      <c r="O238" s="57"/>
      <c r="P238" s="57"/>
      <c r="Q238" s="57"/>
      <c r="R238" s="57"/>
      <c r="S238" s="93">
        <f>S227+S194</f>
        <v>86702292.57</v>
      </c>
      <c r="T238" s="93">
        <f>'súhrnná po AS'!S5</f>
        <v>86702292.57</v>
      </c>
    </row>
    <row r="239" spans="1:20" ht="12.75">
      <c r="A239" s="54"/>
      <c r="B239" s="54"/>
      <c r="C239" s="57"/>
      <c r="D239" s="57"/>
      <c r="E239" s="91"/>
      <c r="F239" s="91"/>
      <c r="G239" s="91"/>
      <c r="H239" s="91"/>
      <c r="I239" s="91"/>
      <c r="J239" s="91"/>
      <c r="K239" s="91"/>
      <c r="L239" s="91"/>
      <c r="M239" s="57"/>
      <c r="N239" s="57"/>
      <c r="O239" s="57"/>
      <c r="P239" s="57"/>
      <c r="Q239" s="57"/>
      <c r="R239" s="57"/>
      <c r="S239" s="57"/>
      <c r="T239" s="57"/>
    </row>
    <row r="240" spans="1:20" ht="12.75">
      <c r="A240" s="54"/>
      <c r="B240" s="54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</row>
    <row r="241" spans="1:20" ht="12.75">
      <c r="A241" s="54"/>
      <c r="B241" s="54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</row>
    <row r="242" spans="1:20" ht="12.75">
      <c r="A242" s="54"/>
      <c r="B242" s="54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4"/>
    </row>
    <row r="243" spans="3:19" ht="12.75">
      <c r="C243" s="157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</row>
  </sheetData>
  <sheetProtection/>
  <mergeCells count="3">
    <mergeCell ref="A228:B228"/>
    <mergeCell ref="A202:B202"/>
    <mergeCell ref="A195:B195"/>
  </mergeCells>
  <printOptions horizontalCentered="1" verticalCentered="1"/>
  <pageMargins left="0.5118110236220472" right="0.31496062992125984" top="0.2362204724409449" bottom="0.3937007874015748" header="0.31496062992125984" footer="0.11811023622047245"/>
  <pageSetup fitToHeight="2" fitToWidth="1" horizontalDpi="600" verticalDpi="600" orientation="landscape" paperSize="9" scale="39" r:id="rId1"/>
  <headerFooter alignWithMargins="0">
    <oddHeader>&amp;RPríloha č. 1</oddHeader>
    <oddFooter>&amp;L&amp;Z&amp;F&amp;R&amp;D</oddFooter>
  </headerFooter>
  <rowBreaks count="1" manualBreakCount="1">
    <brk id="19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47"/>
  <sheetViews>
    <sheetView tabSelected="1" view="pageBreakPreview" zoomScale="85" zoomScaleNormal="85" zoomScaleSheetLayoutView="85" zoomScalePageLayoutView="0" workbookViewId="0" topLeftCell="A1">
      <pane xSplit="1" ySplit="4" topLeftCell="B1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140625" defaultRowHeight="12.75"/>
  <cols>
    <col min="1" max="1" width="48.28125" style="21" customWidth="1"/>
    <col min="2" max="2" width="17.8515625" style="34" customWidth="1"/>
    <col min="3" max="3" width="13.28125" style="34" customWidth="1"/>
    <col min="4" max="4" width="14.421875" style="34" customWidth="1"/>
    <col min="5" max="5" width="14.7109375" style="34" customWidth="1"/>
    <col min="6" max="6" width="13.28125" style="34" customWidth="1"/>
    <col min="7" max="7" width="17.57421875" style="34" customWidth="1"/>
    <col min="8" max="8" width="11.7109375" style="34" customWidth="1"/>
    <col min="9" max="10" width="13.28125" style="34" customWidth="1"/>
    <col min="11" max="11" width="10.57421875" style="34" customWidth="1"/>
    <col min="12" max="12" width="18.28125" style="278" customWidth="1"/>
    <col min="13" max="13" width="13.28125" style="34" customWidth="1"/>
    <col min="14" max="14" width="10.8515625" style="34" customWidth="1"/>
    <col min="15" max="16" width="14.7109375" style="34" bestFit="1" customWidth="1"/>
    <col min="17" max="17" width="14.421875" style="34" bestFit="1" customWidth="1"/>
    <col min="18" max="18" width="14.57421875" style="34" bestFit="1" customWidth="1"/>
    <col min="19" max="19" width="14.7109375" style="97" bestFit="1" customWidth="1"/>
    <col min="20" max="20" width="29.00390625" style="97" hidden="1" customWidth="1"/>
    <col min="21" max="21" width="18.00390625" style="97" hidden="1" customWidth="1"/>
    <col min="22" max="22" width="25.8515625" style="34" hidden="1" customWidth="1"/>
    <col min="23" max="23" width="22.421875" style="21" hidden="1" customWidth="1"/>
    <col min="24" max="24" width="19.140625" style="21" hidden="1" customWidth="1"/>
    <col min="25" max="25" width="13.421875" style="21" hidden="1" customWidth="1"/>
    <col min="26" max="26" width="13.421875" style="21" bestFit="1" customWidth="1"/>
    <col min="27" max="27" width="11.7109375" style="21" customWidth="1"/>
    <col min="28" max="16384" width="9.140625" style="21" customWidth="1"/>
  </cols>
  <sheetData>
    <row r="1" spans="1:21" ht="24" customHeight="1">
      <c r="A1" s="1087" t="s">
        <v>274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22"/>
      <c r="U1" s="22"/>
    </row>
    <row r="2" spans="1:21" ht="18.75">
      <c r="A2" s="279"/>
      <c r="B2" s="22"/>
      <c r="C2" s="22"/>
      <c r="D2" s="22"/>
      <c r="E2" s="22"/>
      <c r="F2" s="22"/>
      <c r="G2" s="22"/>
      <c r="H2" s="22"/>
      <c r="I2" s="22"/>
      <c r="J2" s="22"/>
      <c r="K2" s="22"/>
      <c r="L2" s="276"/>
      <c r="M2" s="22"/>
      <c r="N2" s="22"/>
      <c r="O2" s="22"/>
      <c r="P2" s="22"/>
      <c r="Q2" s="22"/>
      <c r="R2" s="22" t="s">
        <v>272</v>
      </c>
      <c r="S2" s="229">
        <v>81058183.2</v>
      </c>
      <c r="T2" s="229">
        <f>'[38]STU'!$U$5</f>
        <v>80208026.18</v>
      </c>
      <c r="U2" s="229"/>
    </row>
    <row r="3" spans="1:22" s="23" customFormat="1" ht="13.5" thickBot="1">
      <c r="A3" s="280"/>
      <c r="B3" s="163">
        <f>'[39]súhrnná po AS'!$B$5</f>
        <v>13409862.5</v>
      </c>
      <c r="C3" s="163">
        <f>'[32]súhrnná po AS'!$B$5</f>
        <v>6159377.5</v>
      </c>
      <c r="D3" s="163">
        <f>'[33]súhrnná po AS'!$B$5</f>
        <v>15048450.45</v>
      </c>
      <c r="E3" s="163">
        <f>'[34]súhrnná po AS'!$B$5</f>
        <v>14946743.84</v>
      </c>
      <c r="F3" s="163">
        <f>'[35]súhrnná po AS'!$B$5</f>
        <v>4265797</v>
      </c>
      <c r="G3" s="163">
        <f>'[36]súhrnná po AS'!$B$5</f>
        <v>10318217.4</v>
      </c>
      <c r="H3" s="163">
        <f>'[36]súhrnná po AS'!$C$5</f>
        <v>148367.49</v>
      </c>
      <c r="I3" s="163">
        <f>'[37]súhrnná po AS'!$B$5</f>
        <v>4186535</v>
      </c>
      <c r="J3" s="163"/>
      <c r="K3" s="163">
        <f>'[31]súhrnná po AS'!$C$5</f>
        <v>95251.51000000001</v>
      </c>
      <c r="L3" s="277"/>
      <c r="M3" s="163"/>
      <c r="N3" s="163"/>
      <c r="O3" s="164"/>
      <c r="P3" s="164"/>
      <c r="Q3" s="164"/>
      <c r="R3" s="163"/>
      <c r="S3" s="230" t="s">
        <v>31</v>
      </c>
      <c r="T3" s="452" t="s">
        <v>180</v>
      </c>
      <c r="U3" s="452"/>
      <c r="V3" s="484"/>
    </row>
    <row r="4" spans="1:23" ht="65.25" thickBot="1">
      <c r="A4" s="281" t="s">
        <v>0</v>
      </c>
      <c r="B4" s="94" t="s">
        <v>1</v>
      </c>
      <c r="C4" s="221" t="s">
        <v>2</v>
      </c>
      <c r="D4" s="94" t="s">
        <v>3</v>
      </c>
      <c r="E4" s="221" t="s">
        <v>4</v>
      </c>
      <c r="F4" s="94" t="s">
        <v>75</v>
      </c>
      <c r="G4" s="94" t="s">
        <v>6</v>
      </c>
      <c r="H4" s="764" t="s">
        <v>200</v>
      </c>
      <c r="I4" s="94" t="s">
        <v>7</v>
      </c>
      <c r="J4" s="94" t="s">
        <v>9</v>
      </c>
      <c r="K4" s="764" t="s">
        <v>201</v>
      </c>
      <c r="L4" s="568" t="s">
        <v>57</v>
      </c>
      <c r="M4" s="94" t="s">
        <v>8</v>
      </c>
      <c r="N4" s="94" t="s">
        <v>46</v>
      </c>
      <c r="O4" s="606" t="s">
        <v>91</v>
      </c>
      <c r="P4" s="24" t="s">
        <v>89</v>
      </c>
      <c r="Q4" s="614" t="s">
        <v>90</v>
      </c>
      <c r="R4" s="626" t="s">
        <v>273</v>
      </c>
      <c r="S4" s="231" t="s">
        <v>10</v>
      </c>
      <c r="T4" s="1088" t="s">
        <v>181</v>
      </c>
      <c r="U4" s="1089"/>
      <c r="V4" s="734"/>
      <c r="W4" s="733" t="s">
        <v>227</v>
      </c>
    </row>
    <row r="5" spans="1:26" s="25" customFormat="1" ht="23.25" customHeight="1" thickBot="1">
      <c r="A5" s="47" t="s">
        <v>11</v>
      </c>
      <c r="B5" s="282">
        <f aca="true" t="shared" si="0" ref="B5:S5">B7+B119</f>
        <v>13601669.219999999</v>
      </c>
      <c r="C5" s="283">
        <f t="shared" si="0"/>
        <v>6288339.5</v>
      </c>
      <c r="D5" s="282">
        <f t="shared" si="0"/>
        <v>16852457.21</v>
      </c>
      <c r="E5" s="289">
        <f t="shared" si="0"/>
        <v>15251998.33</v>
      </c>
      <c r="F5" s="282">
        <f t="shared" si="0"/>
        <v>4401694.52</v>
      </c>
      <c r="G5" s="282">
        <f t="shared" si="0"/>
        <v>10789507.58</v>
      </c>
      <c r="H5" s="282">
        <f t="shared" si="0"/>
        <v>148367.49</v>
      </c>
      <c r="I5" s="282">
        <f t="shared" si="0"/>
        <v>4273974</v>
      </c>
      <c r="J5" s="282">
        <f t="shared" si="0"/>
        <v>1052978.8399999999</v>
      </c>
      <c r="K5" s="282">
        <f t="shared" si="0"/>
        <v>95251.51000000001</v>
      </c>
      <c r="L5" s="569">
        <f t="shared" si="0"/>
        <v>72756238.19999999</v>
      </c>
      <c r="M5" s="284">
        <f t="shared" si="0"/>
        <v>4598904</v>
      </c>
      <c r="N5" s="282">
        <f t="shared" si="0"/>
        <v>54845</v>
      </c>
      <c r="O5" s="283">
        <f t="shared" si="0"/>
        <v>4026154.39</v>
      </c>
      <c r="P5" s="282">
        <f t="shared" si="0"/>
        <v>1464704.34</v>
      </c>
      <c r="Q5" s="283">
        <f t="shared" si="0"/>
        <v>1157726.6400000001</v>
      </c>
      <c r="R5" s="289">
        <f t="shared" si="0"/>
        <v>2643720</v>
      </c>
      <c r="S5" s="282">
        <f t="shared" si="0"/>
        <v>86702292.57</v>
      </c>
      <c r="T5" s="453">
        <f>S2</f>
        <v>81058183.2</v>
      </c>
      <c r="U5" s="453">
        <f>S5-T5</f>
        <v>5644109.36999999</v>
      </c>
      <c r="V5" s="285"/>
      <c r="W5" s="285">
        <f>539902+1927977+1245756+1738381+55000+110728</f>
        <v>5617744</v>
      </c>
      <c r="X5" s="25" t="s">
        <v>241</v>
      </c>
      <c r="Y5" s="153"/>
      <c r="Z5" s="153"/>
    </row>
    <row r="6" spans="1:25" ht="20.25" customHeight="1" thickBot="1">
      <c r="A6" s="48"/>
      <c r="B6" s="286"/>
      <c r="C6" s="287"/>
      <c r="D6" s="286"/>
      <c r="E6" s="286"/>
      <c r="F6" s="286"/>
      <c r="G6" s="286"/>
      <c r="H6" s="286"/>
      <c r="I6" s="286"/>
      <c r="J6" s="286"/>
      <c r="K6" s="286"/>
      <c r="L6" s="570"/>
      <c r="M6" s="282"/>
      <c r="N6" s="286"/>
      <c r="O6" s="287"/>
      <c r="P6" s="286"/>
      <c r="Q6" s="286"/>
      <c r="R6" s="662"/>
      <c r="S6" s="286"/>
      <c r="T6" s="454"/>
      <c r="U6" s="453">
        <f>S6-T6</f>
        <v>0</v>
      </c>
      <c r="V6" s="451"/>
      <c r="W6" s="201">
        <f>26750+400-1901.1</f>
        <v>25248.9</v>
      </c>
      <c r="X6" s="735" t="s">
        <v>192</v>
      </c>
      <c r="Y6" s="34"/>
    </row>
    <row r="7" spans="1:26" s="25" customFormat="1" ht="26.25" customHeight="1" thickBot="1">
      <c r="A7" s="233" t="s">
        <v>12</v>
      </c>
      <c r="B7" s="289">
        <f>B10+B51+B87+B91+B111+B112+B115+B116</f>
        <v>13601669.219999999</v>
      </c>
      <c r="C7" s="290">
        <f aca="true" t="shared" si="1" ref="C7:K7">C10+C51+C87+C91+C111+C112+C115+C116+C113+C114</f>
        <v>6234489.5</v>
      </c>
      <c r="D7" s="289">
        <f t="shared" si="1"/>
        <v>16602457.209999999</v>
      </c>
      <c r="E7" s="289">
        <f t="shared" si="1"/>
        <v>15096298.33</v>
      </c>
      <c r="F7" s="289">
        <f t="shared" si="1"/>
        <v>4401694.52</v>
      </c>
      <c r="G7" s="289">
        <f t="shared" si="1"/>
        <v>10705957.58</v>
      </c>
      <c r="H7" s="289">
        <f t="shared" si="1"/>
        <v>148367.49</v>
      </c>
      <c r="I7" s="289">
        <f t="shared" si="1"/>
        <v>4273974</v>
      </c>
      <c r="J7" s="289">
        <f t="shared" si="1"/>
        <v>1052978.8399999999</v>
      </c>
      <c r="K7" s="289">
        <f t="shared" si="1"/>
        <v>95251.51000000001</v>
      </c>
      <c r="L7" s="571">
        <f>L9+L111+L113+L115+L116+L112+L114</f>
        <v>72213138.19999999</v>
      </c>
      <c r="M7" s="289">
        <f aca="true" t="shared" si="2" ref="M7:R7">M9+M111+M113+M115+M116</f>
        <v>4598904</v>
      </c>
      <c r="N7" s="289">
        <f t="shared" si="2"/>
        <v>54845</v>
      </c>
      <c r="O7" s="290">
        <f t="shared" si="2"/>
        <v>4026154.39</v>
      </c>
      <c r="P7" s="289">
        <f t="shared" si="2"/>
        <v>1464704.34</v>
      </c>
      <c r="Q7" s="289">
        <f t="shared" si="2"/>
        <v>1157726.6400000001</v>
      </c>
      <c r="R7" s="290">
        <f t="shared" si="2"/>
        <v>2643720</v>
      </c>
      <c r="S7" s="289">
        <f>SUM(L7:R7)</f>
        <v>86159192.57</v>
      </c>
      <c r="T7" s="455">
        <f>76985730.68</f>
        <v>76985730.68</v>
      </c>
      <c r="U7" s="453">
        <f>S5-S2</f>
        <v>5644109.36999999</v>
      </c>
      <c r="W7" s="153">
        <v>0</v>
      </c>
      <c r="X7" s="25" t="s">
        <v>204</v>
      </c>
      <c r="Y7" s="153"/>
      <c r="Z7" s="153"/>
    </row>
    <row r="8" spans="1:24" s="26" customFormat="1" ht="25.5" customHeight="1" thickBot="1">
      <c r="A8" s="234" t="s">
        <v>13</v>
      </c>
      <c r="B8" s="291">
        <f>B51</f>
        <v>3201278</v>
      </c>
      <c r="C8" s="292">
        <f aca="true" t="shared" si="3" ref="C8:R8">C51</f>
        <v>988755</v>
      </c>
      <c r="D8" s="291">
        <f t="shared" si="3"/>
        <v>3879217.33</v>
      </c>
      <c r="E8" s="291">
        <f t="shared" si="3"/>
        <v>4385895</v>
      </c>
      <c r="F8" s="291">
        <f t="shared" si="3"/>
        <v>1262245</v>
      </c>
      <c r="G8" s="291">
        <f t="shared" si="3"/>
        <v>2765997</v>
      </c>
      <c r="H8" s="291">
        <f>H51</f>
        <v>57103.49</v>
      </c>
      <c r="I8" s="291">
        <f t="shared" si="3"/>
        <v>822131</v>
      </c>
      <c r="J8" s="291">
        <f t="shared" si="3"/>
        <v>168439</v>
      </c>
      <c r="K8" s="291">
        <f t="shared" si="3"/>
        <v>95251.51000000001</v>
      </c>
      <c r="L8" s="572">
        <f>L51</f>
        <v>17626312.330000002</v>
      </c>
      <c r="M8" s="291">
        <f t="shared" si="3"/>
        <v>0</v>
      </c>
      <c r="N8" s="291">
        <f t="shared" si="3"/>
        <v>0</v>
      </c>
      <c r="O8" s="292">
        <f t="shared" si="3"/>
        <v>414093.6</v>
      </c>
      <c r="P8" s="291">
        <f t="shared" si="3"/>
        <v>502446.31</v>
      </c>
      <c r="Q8" s="291">
        <f t="shared" si="3"/>
        <v>924067.0700000001</v>
      </c>
      <c r="R8" s="291">
        <f t="shared" si="3"/>
        <v>634703</v>
      </c>
      <c r="S8" s="293">
        <f>SUM(L8:R8)</f>
        <v>20101622.310000002</v>
      </c>
      <c r="T8" s="456">
        <v>26176804</v>
      </c>
      <c r="U8" s="736">
        <f>S52-T8</f>
        <v>-8437771.690000001</v>
      </c>
      <c r="V8" s="294"/>
      <c r="W8" s="26">
        <f>-124.84+5000-3758.69</f>
        <v>1116.4699999999998</v>
      </c>
      <c r="X8" s="735" t="s">
        <v>193</v>
      </c>
    </row>
    <row r="9" spans="1:24" s="25" customFormat="1" ht="38.25" customHeight="1" thickBot="1">
      <c r="A9" s="235" t="s">
        <v>159</v>
      </c>
      <c r="B9" s="295">
        <f aca="true" t="shared" si="4" ref="B9:P9">B10+B51+B87+B91</f>
        <v>12904648.219999999</v>
      </c>
      <c r="C9" s="296">
        <f t="shared" si="4"/>
        <v>5165481.5</v>
      </c>
      <c r="D9" s="295">
        <f t="shared" si="4"/>
        <v>14787183.19</v>
      </c>
      <c r="E9" s="295">
        <f t="shared" si="4"/>
        <v>13144452.18</v>
      </c>
      <c r="F9" s="295">
        <f t="shared" si="4"/>
        <v>4362479.52</v>
      </c>
      <c r="G9" s="295">
        <f t="shared" si="4"/>
        <v>10110742.18</v>
      </c>
      <c r="H9" s="295">
        <f t="shared" si="4"/>
        <v>148367.49</v>
      </c>
      <c r="I9" s="295">
        <f t="shared" si="4"/>
        <v>4164708</v>
      </c>
      <c r="J9" s="295">
        <f t="shared" si="4"/>
        <v>1048518.84</v>
      </c>
      <c r="K9" s="295">
        <f t="shared" si="4"/>
        <v>95251.51000000001</v>
      </c>
      <c r="L9" s="573">
        <f t="shared" si="4"/>
        <v>65931832.629999995</v>
      </c>
      <c r="M9" s="295">
        <f t="shared" si="4"/>
        <v>4598904</v>
      </c>
      <c r="N9" s="295">
        <f t="shared" si="4"/>
        <v>54845</v>
      </c>
      <c r="O9" s="296">
        <f t="shared" si="4"/>
        <v>4026154.39</v>
      </c>
      <c r="P9" s="295">
        <f t="shared" si="4"/>
        <v>1464704.34</v>
      </c>
      <c r="Q9" s="295">
        <f>Q10+Q52+Q85+Q86+Q87+Q91</f>
        <v>1157726.6400000001</v>
      </c>
      <c r="R9" s="296">
        <f>R10+R52+R85+R86+R87+R91</f>
        <v>2643720</v>
      </c>
      <c r="S9" s="295">
        <f>L9+M9+N9+O9+P9+Q9+R9</f>
        <v>79877887</v>
      </c>
      <c r="T9" s="630">
        <v>79877887</v>
      </c>
      <c r="U9" s="631">
        <f>S9-T9</f>
        <v>0</v>
      </c>
      <c r="V9" s="285"/>
      <c r="W9" s="25">
        <v>0</v>
      </c>
      <c r="X9" s="25" t="s">
        <v>228</v>
      </c>
    </row>
    <row r="10" spans="1:24" s="26" customFormat="1" ht="24.75" customHeight="1" thickBot="1">
      <c r="A10" s="236" t="s">
        <v>42</v>
      </c>
      <c r="B10" s="298">
        <f aca="true" t="shared" si="5" ref="B10:S10">B11+B20+B26</f>
        <v>9227080.219999999</v>
      </c>
      <c r="C10" s="297">
        <f t="shared" si="5"/>
        <v>3989208.5</v>
      </c>
      <c r="D10" s="298">
        <f t="shared" si="5"/>
        <v>8835464.86</v>
      </c>
      <c r="E10" s="298">
        <f t="shared" si="5"/>
        <v>8480655.18</v>
      </c>
      <c r="F10" s="298">
        <f t="shared" si="5"/>
        <v>3026790.52</v>
      </c>
      <c r="G10" s="298">
        <f t="shared" si="5"/>
        <v>5472092.18</v>
      </c>
      <c r="H10" s="298">
        <f t="shared" si="5"/>
        <v>91264</v>
      </c>
      <c r="I10" s="298">
        <f t="shared" si="5"/>
        <v>3079905</v>
      </c>
      <c r="J10" s="298">
        <f t="shared" si="5"/>
        <v>872807.84</v>
      </c>
      <c r="K10" s="298">
        <f t="shared" si="5"/>
        <v>0</v>
      </c>
      <c r="L10" s="574">
        <f t="shared" si="5"/>
        <v>43075268.3</v>
      </c>
      <c r="M10" s="298">
        <f t="shared" si="5"/>
        <v>0</v>
      </c>
      <c r="N10" s="298">
        <f t="shared" si="5"/>
        <v>0</v>
      </c>
      <c r="O10" s="297">
        <f t="shared" si="5"/>
        <v>3612060.79</v>
      </c>
      <c r="P10" s="298">
        <f t="shared" si="5"/>
        <v>931543.03</v>
      </c>
      <c r="Q10" s="298">
        <f t="shared" si="5"/>
        <v>13659.57</v>
      </c>
      <c r="R10" s="297">
        <f t="shared" si="5"/>
        <v>882944</v>
      </c>
      <c r="S10" s="298">
        <f t="shared" si="5"/>
        <v>48515475.69</v>
      </c>
      <c r="T10" s="457">
        <v>40082626</v>
      </c>
      <c r="U10" s="736">
        <f>S10-T10</f>
        <v>8432849.689999998</v>
      </c>
      <c r="V10" s="294"/>
      <c r="W10" s="882">
        <f>SUM(W5:W9)</f>
        <v>5644109.37</v>
      </c>
      <c r="X10" s="25" t="s">
        <v>213</v>
      </c>
    </row>
    <row r="11" spans="1:24" s="96" customFormat="1" ht="18.75" customHeight="1" thickBot="1">
      <c r="A11" s="237" t="s">
        <v>97</v>
      </c>
      <c r="B11" s="299">
        <f aca="true" t="shared" si="6" ref="B11:K11">SUM(B12:B18)</f>
        <v>5984207.35</v>
      </c>
      <c r="C11" s="300">
        <f t="shared" si="6"/>
        <v>2499835.65</v>
      </c>
      <c r="D11" s="299">
        <f t="shared" si="6"/>
        <v>5673654</v>
      </c>
      <c r="E11" s="299">
        <f t="shared" si="6"/>
        <v>4921335.16</v>
      </c>
      <c r="F11" s="299">
        <f t="shared" si="6"/>
        <v>1874376.5</v>
      </c>
      <c r="G11" s="299">
        <f t="shared" si="6"/>
        <v>3388202</v>
      </c>
      <c r="H11" s="299">
        <f t="shared" si="6"/>
        <v>67089</v>
      </c>
      <c r="I11" s="299">
        <f t="shared" si="6"/>
        <v>1861354</v>
      </c>
      <c r="J11" s="299">
        <f t="shared" si="6"/>
        <v>597922.2</v>
      </c>
      <c r="K11" s="299">
        <f t="shared" si="6"/>
        <v>0</v>
      </c>
      <c r="L11" s="304">
        <f>SUM(B11:K11)</f>
        <v>26867975.86</v>
      </c>
      <c r="M11" s="302">
        <f aca="true" t="shared" si="7" ref="M11:R11">SUM(M12:M18)</f>
        <v>0</v>
      </c>
      <c r="N11" s="302">
        <f t="shared" si="7"/>
        <v>0</v>
      </c>
      <c r="O11" s="303">
        <f t="shared" si="7"/>
        <v>2015728.12</v>
      </c>
      <c r="P11" s="302">
        <f t="shared" si="7"/>
        <v>55899.99</v>
      </c>
      <c r="Q11" s="302">
        <f t="shared" si="7"/>
        <v>9414</v>
      </c>
      <c r="R11" s="303">
        <f t="shared" si="7"/>
        <v>0</v>
      </c>
      <c r="S11" s="302">
        <f aca="true" t="shared" si="8" ref="S11:S16">L11+SUM(M11:R11)</f>
        <v>28949017.97</v>
      </c>
      <c r="T11" s="458"/>
      <c r="U11" s="736">
        <f>U8+U10</f>
        <v>-4922.000000003725</v>
      </c>
      <c r="V11" s="305"/>
      <c r="W11" s="201">
        <f>U5-W10</f>
        <v>-1.0244548320770264E-08</v>
      </c>
      <c r="X11" s="735" t="s">
        <v>212</v>
      </c>
    </row>
    <row r="12" spans="1:23" s="27" customFormat="1" ht="16.5" thickBot="1">
      <c r="A12" s="220" t="s">
        <v>62</v>
      </c>
      <c r="B12" s="299">
        <f>4430664+úpravy!C115+úpravy!C117+úpravy!C121+úpravy!C125+úpravy!C127+úpravy!C129+úpravy!C141</f>
        <v>5945968.35</v>
      </c>
      <c r="C12" s="300">
        <f>1667289+úpravy!D119+úpravy!D121+úpravy!D137+úpravy!D149</f>
        <v>2491835.65</v>
      </c>
      <c r="D12" s="299">
        <f>4028625+úpravy!E113+úpravy!E117+úpravy!E137</f>
        <v>5638166</v>
      </c>
      <c r="E12" s="299">
        <f>4216096+úpravy!F123+úpravy!F129+úpravy!F131+úpravy!F153</f>
        <v>4906724.16</v>
      </c>
      <c r="F12" s="299">
        <f>1884922+úpravy!G123+úpravy!G127</f>
        <v>1859928</v>
      </c>
      <c r="G12" s="299">
        <v>3352760</v>
      </c>
      <c r="H12" s="299">
        <f>úpravy!I98</f>
        <v>67089</v>
      </c>
      <c r="I12" s="299">
        <f>1890651+úpravy!J113+úpravy!J115+úpravy!J119</f>
        <v>1838074</v>
      </c>
      <c r="J12" s="299">
        <f>325544+úpravy!M125+úpravy!M145+úpravy!M131</f>
        <v>597922.2</v>
      </c>
      <c r="K12" s="299">
        <f>67089+úpravy!N98</f>
        <v>0</v>
      </c>
      <c r="L12" s="575">
        <f>SUM(B12:K12)</f>
        <v>26698467.36</v>
      </c>
      <c r="M12" s="302">
        <v>0</v>
      </c>
      <c r="N12" s="302">
        <v>0</v>
      </c>
      <c r="O12" s="303">
        <f>1350000+úpravy!O137+úpravy!O169+úpravy!O172+úpravy!O174+úpravy!O178</f>
        <v>2003642.12</v>
      </c>
      <c r="P12" s="304">
        <f>0</f>
        <v>0</v>
      </c>
      <c r="Q12" s="304">
        <v>0</v>
      </c>
      <c r="R12" s="301">
        <v>0</v>
      </c>
      <c r="S12" s="306">
        <f t="shared" si="8"/>
        <v>28702109.48</v>
      </c>
      <c r="T12" s="459"/>
      <c r="U12" s="453"/>
      <c r="V12" s="307"/>
      <c r="W12" s="202"/>
    </row>
    <row r="13" spans="1:23" s="27" customFormat="1" ht="15.75">
      <c r="A13" s="498" t="s">
        <v>93</v>
      </c>
      <c r="B13" s="308">
        <f>úpravy!C92</f>
        <v>5500</v>
      </c>
      <c r="C13" s="308">
        <f>úpravy!D92</f>
        <v>8000</v>
      </c>
      <c r="D13" s="308">
        <f>úpravy!E92</f>
        <v>3000</v>
      </c>
      <c r="E13" s="308">
        <f>úpravy!F92</f>
        <v>3000</v>
      </c>
      <c r="F13" s="308">
        <f>úpravy!G92</f>
        <v>3000</v>
      </c>
      <c r="G13" s="308">
        <f>úpravy!H92</f>
        <v>3000</v>
      </c>
      <c r="H13" s="308"/>
      <c r="I13" s="308">
        <f>úpravy!J92</f>
        <v>3000</v>
      </c>
      <c r="J13" s="308"/>
      <c r="K13" s="308"/>
      <c r="L13" s="577">
        <f>SUM(B13:J13)</f>
        <v>28500</v>
      </c>
      <c r="M13" s="308"/>
      <c r="N13" s="308"/>
      <c r="O13" s="309">
        <f>úpravy!O92</f>
        <v>12086</v>
      </c>
      <c r="P13" s="611"/>
      <c r="Q13" s="344">
        <f>50000+úpravy!Q92</f>
        <v>9414</v>
      </c>
      <c r="R13" s="663"/>
      <c r="S13" s="310">
        <f t="shared" si="8"/>
        <v>50000</v>
      </c>
      <c r="T13" s="460"/>
      <c r="U13" s="453"/>
      <c r="V13" s="307"/>
      <c r="W13" s="202"/>
    </row>
    <row r="14" spans="1:24" s="27" customFormat="1" ht="15.75">
      <c r="A14" s="498" t="s">
        <v>92</v>
      </c>
      <c r="B14" s="308">
        <v>20280</v>
      </c>
      <c r="C14" s="309">
        <v>0</v>
      </c>
      <c r="D14" s="308">
        <v>20280</v>
      </c>
      <c r="E14" s="308"/>
      <c r="F14" s="308"/>
      <c r="G14" s="308">
        <v>20280</v>
      </c>
      <c r="H14" s="308"/>
      <c r="I14" s="308">
        <v>20280</v>
      </c>
      <c r="J14" s="308"/>
      <c r="K14" s="308"/>
      <c r="L14" s="577">
        <f>SUM(B14:J14)</f>
        <v>81120</v>
      </c>
      <c r="M14" s="308"/>
      <c r="N14" s="308"/>
      <c r="O14" s="309"/>
      <c r="P14" s="545">
        <f>68952+úpravy!P108</f>
        <v>50962</v>
      </c>
      <c r="Q14" s="308"/>
      <c r="R14" s="663">
        <f>0+úpravy!R108-17990</f>
        <v>0</v>
      </c>
      <c r="S14" s="310">
        <f t="shared" si="8"/>
        <v>132082</v>
      </c>
      <c r="T14" s="460"/>
      <c r="U14" s="453"/>
      <c r="V14" s="312"/>
      <c r="W14" s="202"/>
      <c r="X14" s="999"/>
    </row>
    <row r="15" spans="1:24" s="27" customFormat="1" ht="15.75">
      <c r="A15" s="498" t="s">
        <v>267</v>
      </c>
      <c r="B15" s="308">
        <f>úpravy!C176</f>
        <v>12459</v>
      </c>
      <c r="C15" s="309"/>
      <c r="D15" s="308">
        <f>úpravy!E176</f>
        <v>12208</v>
      </c>
      <c r="E15" s="308">
        <f>úpravy!F176</f>
        <v>11611</v>
      </c>
      <c r="F15" s="308">
        <f>úpravy!G176</f>
        <v>11448.5</v>
      </c>
      <c r="G15" s="308">
        <f>úpravy!H176</f>
        <v>12162</v>
      </c>
      <c r="H15" s="308"/>
      <c r="I15" s="308"/>
      <c r="J15" s="308"/>
      <c r="K15" s="308"/>
      <c r="L15" s="577">
        <f>SUM(B15:J15)</f>
        <v>59888.5</v>
      </c>
      <c r="M15" s="308"/>
      <c r="N15" s="308"/>
      <c r="O15" s="309"/>
      <c r="P15" s="324"/>
      <c r="Q15" s="308">
        <f>úpravy!Q178+úpravy!Q176</f>
        <v>0</v>
      </c>
      <c r="R15" s="663"/>
      <c r="S15" s="310">
        <f t="shared" si="8"/>
        <v>59888.5</v>
      </c>
      <c r="T15" s="460"/>
      <c r="U15" s="453"/>
      <c r="V15" s="312"/>
      <c r="W15" s="202"/>
      <c r="X15" s="999"/>
    </row>
    <row r="16" spans="1:23" s="27" customFormat="1" ht="15.75">
      <c r="A16" s="498" t="s">
        <v>94</v>
      </c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577">
        <f>SUM(B16:J16)</f>
        <v>0</v>
      </c>
      <c r="M16" s="308"/>
      <c r="N16" s="308"/>
      <c r="O16" s="309"/>
      <c r="P16" s="522">
        <f>16224+úpravy!P110+úpravy!P165</f>
        <v>4937.99</v>
      </c>
      <c r="Q16" s="308"/>
      <c r="R16" s="663">
        <f>úpravy!R110-4234</f>
        <v>0</v>
      </c>
      <c r="S16" s="310">
        <f t="shared" si="8"/>
        <v>4937.99</v>
      </c>
      <c r="T16" s="460"/>
      <c r="U16" s="453"/>
      <c r="V16" s="312"/>
      <c r="W16" s="202"/>
    </row>
    <row r="17" spans="1:23" s="27" customFormat="1" ht="15.75">
      <c r="A17" s="219" t="s">
        <v>60</v>
      </c>
      <c r="B17" s="313"/>
      <c r="C17" s="314"/>
      <c r="D17" s="313" t="s">
        <v>96</v>
      </c>
      <c r="E17" s="313"/>
      <c r="F17" s="313"/>
      <c r="G17" s="313"/>
      <c r="H17" s="313"/>
      <c r="I17" s="313"/>
      <c r="J17" s="313"/>
      <c r="K17" s="313"/>
      <c r="L17" s="578">
        <f>SUM(B17:K17)</f>
        <v>0</v>
      </c>
      <c r="M17" s="313"/>
      <c r="N17" s="313"/>
      <c r="O17" s="314"/>
      <c r="P17" s="313"/>
      <c r="Q17" s="313"/>
      <c r="R17" s="664"/>
      <c r="S17" s="315">
        <f>L17+M17+N17+O17+P17+Q17+R17</f>
        <v>0</v>
      </c>
      <c r="T17" s="461"/>
      <c r="U17" s="453"/>
      <c r="V17" s="312"/>
      <c r="W17" s="202"/>
    </row>
    <row r="18" spans="1:23" s="27" customFormat="1" ht="15.75">
      <c r="A18" s="232" t="s">
        <v>61</v>
      </c>
      <c r="B18" s="316"/>
      <c r="C18" s="317"/>
      <c r="D18" s="316"/>
      <c r="E18" s="316"/>
      <c r="F18" s="316"/>
      <c r="G18" s="316"/>
      <c r="H18" s="316"/>
      <c r="I18" s="316"/>
      <c r="J18" s="316"/>
      <c r="K18" s="316"/>
      <c r="L18" s="579">
        <f>SUM(B18:K18)</f>
        <v>0</v>
      </c>
      <c r="M18" s="316"/>
      <c r="N18" s="316"/>
      <c r="O18" s="317"/>
      <c r="P18" s="316"/>
      <c r="Q18" s="316"/>
      <c r="R18" s="665"/>
      <c r="S18" s="318">
        <f>L18+M18+N18+O18+P18+Q18+R18</f>
        <v>0</v>
      </c>
      <c r="T18" s="461"/>
      <c r="U18" s="453"/>
      <c r="V18" s="307"/>
      <c r="W18" s="202"/>
    </row>
    <row r="19" spans="1:23" s="27" customFormat="1" ht="16.5" thickBot="1">
      <c r="A19" s="232"/>
      <c r="B19" s="316"/>
      <c r="C19" s="317"/>
      <c r="D19" s="316"/>
      <c r="E19" s="316"/>
      <c r="F19" s="316"/>
      <c r="G19" s="316"/>
      <c r="H19" s="316"/>
      <c r="I19" s="316"/>
      <c r="J19" s="316"/>
      <c r="K19" s="316"/>
      <c r="L19" s="579"/>
      <c r="M19" s="316"/>
      <c r="N19" s="316"/>
      <c r="O19" s="317"/>
      <c r="P19" s="316"/>
      <c r="Q19" s="316"/>
      <c r="R19" s="317"/>
      <c r="S19" s="318"/>
      <c r="T19" s="461"/>
      <c r="U19" s="453"/>
      <c r="V19" s="307"/>
      <c r="W19" s="202"/>
    </row>
    <row r="20" spans="1:23" s="96" customFormat="1" ht="21" customHeight="1" thickBot="1">
      <c r="A20" s="184" t="s">
        <v>98</v>
      </c>
      <c r="B20" s="319">
        <f aca="true" t="shared" si="9" ref="B20:K20">SUM(B21:B25)</f>
        <v>2137008.87</v>
      </c>
      <c r="C20" s="320">
        <f t="shared" si="9"/>
        <v>887651.85</v>
      </c>
      <c r="D20" s="319">
        <f t="shared" si="9"/>
        <v>1996697.86</v>
      </c>
      <c r="E20" s="319">
        <f t="shared" si="9"/>
        <v>1875418.02</v>
      </c>
      <c r="F20" s="319">
        <f t="shared" si="9"/>
        <v>659296.02</v>
      </c>
      <c r="G20" s="319">
        <f t="shared" si="9"/>
        <v>1192215.18</v>
      </c>
      <c r="H20" s="319">
        <f>SUM(H21:H25)</f>
        <v>23615</v>
      </c>
      <c r="I20" s="319">
        <f t="shared" si="9"/>
        <v>655198</v>
      </c>
      <c r="J20" s="319">
        <f t="shared" si="9"/>
        <v>210467.64</v>
      </c>
      <c r="K20" s="319">
        <f t="shared" si="9"/>
        <v>0</v>
      </c>
      <c r="L20" s="580">
        <f>SUM(B20:K20)</f>
        <v>9637568.44</v>
      </c>
      <c r="M20" s="321">
        <v>0</v>
      </c>
      <c r="N20" s="321">
        <v>0</v>
      </c>
      <c r="O20" s="322">
        <f>SUM(O21:O25)</f>
        <v>668131.67</v>
      </c>
      <c r="P20" s="321">
        <f>SUM(P21:P25)</f>
        <v>22224</v>
      </c>
      <c r="Q20" s="321">
        <f>SUM(Q21:Q25)</f>
        <v>4245.57</v>
      </c>
      <c r="R20" s="322">
        <f>SUM(R21:R25)</f>
        <v>0</v>
      </c>
      <c r="S20" s="321">
        <f aca="true" t="shared" si="10" ref="S20:S25">L20+SUM(M20:R20)</f>
        <v>10332169.68</v>
      </c>
      <c r="T20" s="462"/>
      <c r="U20" s="453"/>
      <c r="V20" s="305"/>
      <c r="W20" s="149"/>
    </row>
    <row r="21" spans="1:23" s="28" customFormat="1" ht="15.75" thickBot="1">
      <c r="A21" s="492" t="s">
        <v>95</v>
      </c>
      <c r="B21" s="319">
        <f>1566732-B23+úpravy!C116+úpravy!C118+úpravy!C122+úpravy!C126+úpravy!C128+úpravy!C130+úpravy!C142</f>
        <v>2123980.15</v>
      </c>
      <c r="C21" s="320">
        <f>586886+úpravy!D120+úpravy!D122+úpravy!D138+úpravy!D150</f>
        <v>884835.85</v>
      </c>
      <c r="D21" s="319">
        <f>1425215-D23+úpravy!E114+úpravy!E118+úpravy!E138</f>
        <v>1984635</v>
      </c>
      <c r="E21" s="319">
        <f>1484066+úpravy!F124+úpravy!F130+úpravy!F132+úpravy!F154</f>
        <v>1870275</v>
      </c>
      <c r="F21" s="319">
        <f>663493+úpravy!G124+úpravy!G128</f>
        <v>654278</v>
      </c>
      <c r="G21" s="319">
        <f>1187310-G23</f>
        <v>1180171</v>
      </c>
      <c r="H21" s="319">
        <f>úpravy!I99</f>
        <v>23615</v>
      </c>
      <c r="I21" s="319">
        <f>672648-I23+úpravy!J114+úpravy!J116+úpravy!J120</f>
        <v>647003</v>
      </c>
      <c r="J21" s="319">
        <f>114591-SUM(J22:J25)+úpravy!M126+úpravy!M146+úpravy!M132</f>
        <v>210467.64</v>
      </c>
      <c r="K21" s="319">
        <f>23615-SUM(K22:K25)+úpravy!N99</f>
        <v>0</v>
      </c>
      <c r="L21" s="580">
        <f>SUM(B21:K21)</f>
        <v>9579260.64</v>
      </c>
      <c r="M21" s="493">
        <v>0</v>
      </c>
      <c r="N21" s="493">
        <v>0</v>
      </c>
      <c r="O21" s="322">
        <f>475200+úpravy!O138+úpravy!O170+úpravy!O173+úpravy!O179</f>
        <v>664809.24</v>
      </c>
      <c r="P21" s="321">
        <v>0</v>
      </c>
      <c r="Q21" s="671">
        <v>0</v>
      </c>
      <c r="R21" s="666">
        <v>0</v>
      </c>
      <c r="S21" s="494">
        <f t="shared" si="10"/>
        <v>10244069.88</v>
      </c>
      <c r="T21" s="460"/>
      <c r="U21" s="460"/>
      <c r="V21" s="325"/>
      <c r="W21" s="165"/>
    </row>
    <row r="22" spans="1:23" s="28" customFormat="1" ht="15">
      <c r="A22" s="498" t="s">
        <v>93</v>
      </c>
      <c r="B22" s="308">
        <f>úpravy!C93</f>
        <v>1936</v>
      </c>
      <c r="C22" s="309">
        <f>úpravy!D93</f>
        <v>2816</v>
      </c>
      <c r="D22" s="308">
        <f>úpravy!E93</f>
        <v>1056</v>
      </c>
      <c r="E22" s="308">
        <f>úpravy!F93</f>
        <v>1056</v>
      </c>
      <c r="F22" s="308">
        <f>úpravy!G93</f>
        <v>1056</v>
      </c>
      <c r="G22" s="486">
        <f>úpravy!H93</f>
        <v>1056</v>
      </c>
      <c r="H22" s="308"/>
      <c r="I22" s="308">
        <f>úpravy!J93</f>
        <v>1056</v>
      </c>
      <c r="J22" s="308"/>
      <c r="K22" s="308"/>
      <c r="L22" s="576">
        <f>SUM(B22:J22)</f>
        <v>10032</v>
      </c>
      <c r="M22" s="308"/>
      <c r="N22" s="308"/>
      <c r="O22" s="495">
        <f>úpravy!O93</f>
        <v>3322.43</v>
      </c>
      <c r="P22" s="612"/>
      <c r="Q22" s="522">
        <f>17600+úpravy!Q93</f>
        <v>4245.57</v>
      </c>
      <c r="R22" s="663"/>
      <c r="S22" s="310">
        <f t="shared" si="10"/>
        <v>17600</v>
      </c>
      <c r="T22" s="460"/>
      <c r="U22" s="460"/>
      <c r="V22" s="325"/>
      <c r="W22" s="165"/>
    </row>
    <row r="23" spans="1:23" s="183" customFormat="1" ht="15">
      <c r="A23" s="498" t="s">
        <v>92</v>
      </c>
      <c r="B23" s="326">
        <f>7139</f>
        <v>7139</v>
      </c>
      <c r="C23" s="327">
        <f>C14*35.2%</f>
        <v>0</v>
      </c>
      <c r="D23" s="326">
        <v>7139</v>
      </c>
      <c r="E23" s="326">
        <f>E14*35.2%</f>
        <v>0</v>
      </c>
      <c r="F23" s="326">
        <f>F14*35.2%</f>
        <v>0</v>
      </c>
      <c r="G23" s="326">
        <v>7139</v>
      </c>
      <c r="H23" s="326">
        <f>H14*35.2%</f>
        <v>0</v>
      </c>
      <c r="I23" s="326">
        <v>7139</v>
      </c>
      <c r="J23" s="326">
        <f>J14*35.2%</f>
        <v>0</v>
      </c>
      <c r="K23" s="326">
        <f>K14*35.2%</f>
        <v>0</v>
      </c>
      <c r="L23" s="577">
        <f>SUM(B23:J23)</f>
        <v>28556</v>
      </c>
      <c r="M23" s="328"/>
      <c r="N23" s="328"/>
      <c r="O23" s="607"/>
      <c r="P23" s="545">
        <f>24271+úpravy!P109</f>
        <v>17990</v>
      </c>
      <c r="Q23" s="672"/>
      <c r="R23" s="667">
        <f>0+úpravy!R109-6281</f>
        <v>0</v>
      </c>
      <c r="S23" s="310">
        <f t="shared" si="10"/>
        <v>46546</v>
      </c>
      <c r="T23" s="460"/>
      <c r="U23" s="460"/>
      <c r="V23" s="329"/>
      <c r="W23" s="182"/>
    </row>
    <row r="24" spans="1:26" s="28" customFormat="1" ht="15">
      <c r="A24" s="498" t="s">
        <v>94</v>
      </c>
      <c r="B24" s="326"/>
      <c r="C24" s="327"/>
      <c r="D24" s="326"/>
      <c r="E24" s="326"/>
      <c r="F24" s="326"/>
      <c r="G24" s="326"/>
      <c r="H24" s="326"/>
      <c r="I24" s="326"/>
      <c r="J24" s="326"/>
      <c r="K24" s="326"/>
      <c r="L24" s="576">
        <f>SUM(B24:J24)</f>
        <v>0</v>
      </c>
      <c r="M24" s="326"/>
      <c r="N24" s="326"/>
      <c r="O24" s="327"/>
      <c r="P24" s="311">
        <f>5711+úpravy!P111</f>
        <v>4234</v>
      </c>
      <c r="Q24" s="311"/>
      <c r="R24" s="668">
        <f>úpravy!R111-1477</f>
        <v>0</v>
      </c>
      <c r="S24" s="310">
        <f t="shared" si="10"/>
        <v>4234</v>
      </c>
      <c r="T24" s="460"/>
      <c r="U24" s="460"/>
      <c r="V24" s="325"/>
      <c r="W24" s="165"/>
      <c r="Z24" s="165"/>
    </row>
    <row r="25" spans="1:23" s="28" customFormat="1" ht="15.75" thickBot="1">
      <c r="A25" s="1014" t="s">
        <v>268</v>
      </c>
      <c r="B25" s="330">
        <f>úpravy!C177</f>
        <v>3953.7200000000003</v>
      </c>
      <c r="C25" s="331"/>
      <c r="D25" s="330">
        <f>úpravy!E177</f>
        <v>3867.8599999999997</v>
      </c>
      <c r="E25" s="330">
        <f>úpravy!F177</f>
        <v>4087.0200000000004</v>
      </c>
      <c r="F25" s="330">
        <f>úpravy!G177</f>
        <v>3962.02</v>
      </c>
      <c r="G25" s="330">
        <f>úpravy!H177</f>
        <v>3849.18</v>
      </c>
      <c r="H25" s="330"/>
      <c r="I25" s="330"/>
      <c r="J25" s="330"/>
      <c r="K25" s="330"/>
      <c r="L25" s="576">
        <f>SUM(B25:J25)</f>
        <v>19719.8</v>
      </c>
      <c r="M25" s="330"/>
      <c r="N25" s="330"/>
      <c r="O25" s="331"/>
      <c r="P25" s="332"/>
      <c r="Q25" s="332">
        <f>úpravy!Q177+úpravy!Q179</f>
        <v>0</v>
      </c>
      <c r="R25" s="669"/>
      <c r="S25" s="310">
        <f t="shared" si="10"/>
        <v>19719.8</v>
      </c>
      <c r="T25" s="463"/>
      <c r="U25" s="463"/>
      <c r="V25" s="325"/>
      <c r="W25" s="165"/>
    </row>
    <row r="26" spans="1:23" s="96" customFormat="1" ht="18.75" customHeight="1" thickBot="1">
      <c r="A26" s="185" t="s">
        <v>102</v>
      </c>
      <c r="B26" s="555">
        <f>SUM(B27:B28)</f>
        <v>1105864</v>
      </c>
      <c r="C26" s="333">
        <f aca="true" t="shared" si="11" ref="C26:K26">SUM(C27:C28)</f>
        <v>601721</v>
      </c>
      <c r="D26" s="555">
        <f t="shared" si="11"/>
        <v>1165113</v>
      </c>
      <c r="E26" s="555">
        <f t="shared" si="11"/>
        <v>1683902</v>
      </c>
      <c r="F26" s="555">
        <f t="shared" si="11"/>
        <v>493118</v>
      </c>
      <c r="G26" s="555">
        <f t="shared" si="11"/>
        <v>891675</v>
      </c>
      <c r="H26" s="555">
        <f>SUM(H27:H28)</f>
        <v>560</v>
      </c>
      <c r="I26" s="555">
        <f t="shared" si="11"/>
        <v>563353</v>
      </c>
      <c r="J26" s="555">
        <f t="shared" si="11"/>
        <v>64418</v>
      </c>
      <c r="K26" s="555">
        <f t="shared" si="11"/>
        <v>0</v>
      </c>
      <c r="L26" s="581">
        <f>SUM(B26:K26)</f>
        <v>6569724</v>
      </c>
      <c r="M26" s="334">
        <f aca="true" t="shared" si="12" ref="M26:R26">SUM(M27:M28)</f>
        <v>0</v>
      </c>
      <c r="N26" s="334">
        <f t="shared" si="12"/>
        <v>0</v>
      </c>
      <c r="O26" s="608">
        <f t="shared" si="12"/>
        <v>928201</v>
      </c>
      <c r="P26" s="334">
        <f t="shared" si="12"/>
        <v>853419.04</v>
      </c>
      <c r="Q26" s="334">
        <f t="shared" si="12"/>
        <v>0</v>
      </c>
      <c r="R26" s="670">
        <f t="shared" si="12"/>
        <v>882944</v>
      </c>
      <c r="S26" s="334">
        <f aca="true" t="shared" si="13" ref="S26:S36">L26+SUM(M26:R26)</f>
        <v>9234288.04</v>
      </c>
      <c r="T26" s="464"/>
      <c r="U26" s="464"/>
      <c r="V26" s="305"/>
      <c r="W26" s="149"/>
    </row>
    <row r="27" spans="1:23" s="95" customFormat="1" ht="15">
      <c r="A27" s="546" t="s">
        <v>103</v>
      </c>
      <c r="B27" s="556">
        <f>898412</f>
        <v>898412</v>
      </c>
      <c r="C27" s="559">
        <f>360157+úpravy!D151</f>
        <v>435157</v>
      </c>
      <c r="D27" s="556">
        <f>846251+úpravy!E155</f>
        <v>906251</v>
      </c>
      <c r="E27" s="556">
        <f>701208+úpravy!F155</f>
        <v>1462805</v>
      </c>
      <c r="F27" s="556">
        <f>393803</f>
        <v>393803</v>
      </c>
      <c r="G27" s="556">
        <f>731018</f>
        <v>731018</v>
      </c>
      <c r="H27" s="556">
        <f>úpravy!I100</f>
        <v>560</v>
      </c>
      <c r="I27" s="556">
        <f>508770</f>
        <v>508770</v>
      </c>
      <c r="J27" s="556">
        <f>64418</f>
        <v>64418</v>
      </c>
      <c r="K27" s="556">
        <f>560+úpravy!N100</f>
        <v>0</v>
      </c>
      <c r="L27" s="582">
        <f>SUM(B27:K27)</f>
        <v>5401194</v>
      </c>
      <c r="M27" s="496"/>
      <c r="N27" s="496"/>
      <c r="O27" s="497">
        <f>780000</f>
        <v>780000</v>
      </c>
      <c r="P27" s="706">
        <v>0</v>
      </c>
      <c r="Q27" s="497">
        <v>0</v>
      </c>
      <c r="R27" s="706">
        <f>85922+úpravy!R174</f>
        <v>0</v>
      </c>
      <c r="S27" s="709">
        <f t="shared" si="13"/>
        <v>6181194</v>
      </c>
      <c r="T27" s="465"/>
      <c r="U27" s="465"/>
      <c r="V27" s="337"/>
      <c r="W27" s="203"/>
    </row>
    <row r="28" spans="1:28" s="95" customFormat="1" ht="15">
      <c r="A28" s="547" t="s">
        <v>101</v>
      </c>
      <c r="B28" s="880">
        <f aca="true" t="shared" si="14" ref="B28:K28">SUM(B29:B48)</f>
        <v>207452</v>
      </c>
      <c r="C28" s="880">
        <f t="shared" si="14"/>
        <v>166564</v>
      </c>
      <c r="D28" s="880">
        <f t="shared" si="14"/>
        <v>258862</v>
      </c>
      <c r="E28" s="880">
        <f t="shared" si="14"/>
        <v>221097</v>
      </c>
      <c r="F28" s="880">
        <f t="shared" si="14"/>
        <v>99315</v>
      </c>
      <c r="G28" s="880">
        <f t="shared" si="14"/>
        <v>160657</v>
      </c>
      <c r="H28" s="880">
        <f t="shared" si="14"/>
        <v>0</v>
      </c>
      <c r="I28" s="880">
        <f t="shared" si="14"/>
        <v>54583</v>
      </c>
      <c r="J28" s="880">
        <f t="shared" si="14"/>
        <v>0</v>
      </c>
      <c r="K28" s="880">
        <f t="shared" si="14"/>
        <v>0</v>
      </c>
      <c r="L28" s="879">
        <f>SUM(B28:K28)</f>
        <v>1168530</v>
      </c>
      <c r="M28" s="496"/>
      <c r="N28" s="496"/>
      <c r="O28" s="496">
        <f>SUM(O29:O50)</f>
        <v>148201</v>
      </c>
      <c r="P28" s="496">
        <f>SUM(P29:P50)</f>
        <v>853419.04</v>
      </c>
      <c r="Q28" s="496">
        <f>SUM(Q29:Q50)</f>
        <v>0</v>
      </c>
      <c r="R28" s="496">
        <f>SUM(R29:R50)</f>
        <v>882944</v>
      </c>
      <c r="S28" s="709">
        <f t="shared" si="13"/>
        <v>3053094.04</v>
      </c>
      <c r="T28" s="465"/>
      <c r="U28" s="465"/>
      <c r="V28" s="337"/>
      <c r="W28" s="203"/>
      <c r="Z28" s="21"/>
      <c r="AA28" s="21"/>
      <c r="AB28" s="21"/>
    </row>
    <row r="29" spans="1:28" s="95" customFormat="1" ht="15">
      <c r="A29" s="763" t="s">
        <v>258</v>
      </c>
      <c r="B29" s="308">
        <f>úpravy!C43</f>
        <v>0</v>
      </c>
      <c r="C29" s="309">
        <f>úpravy!D43</f>
        <v>12745</v>
      </c>
      <c r="D29" s="308">
        <f>úpravy!E43</f>
        <v>82603</v>
      </c>
      <c r="E29" s="308">
        <f>úpravy!F43</f>
        <v>16065</v>
      </c>
      <c r="F29" s="308">
        <f>úpravy!G43</f>
        <v>7694</v>
      </c>
      <c r="G29" s="308"/>
      <c r="H29" s="308"/>
      <c r="I29" s="308">
        <f>úpravy!J43</f>
        <v>0</v>
      </c>
      <c r="J29" s="308"/>
      <c r="K29" s="308"/>
      <c r="L29" s="577">
        <f aca="true" t="shared" si="15" ref="L29:L35">SUM(B29:J29)</f>
        <v>119107</v>
      </c>
      <c r="M29" s="308"/>
      <c r="N29" s="308"/>
      <c r="O29" s="309">
        <f>úpravy!O43</f>
        <v>7730</v>
      </c>
      <c r="P29" s="522"/>
      <c r="Q29" s="308"/>
      <c r="R29" s="324">
        <f>úpravy!R70</f>
        <v>611400</v>
      </c>
      <c r="S29" s="310">
        <f t="shared" si="13"/>
        <v>738237</v>
      </c>
      <c r="T29" s="465">
        <f>R30+R57</f>
        <v>56103</v>
      </c>
      <c r="U29" s="465">
        <f>295216-2823</f>
        <v>292393</v>
      </c>
      <c r="V29" s="337">
        <f>T29+U29</f>
        <v>348496</v>
      </c>
      <c r="W29" s="203"/>
      <c r="Z29" s="21"/>
      <c r="AA29" s="21"/>
      <c r="AB29" s="21"/>
    </row>
    <row r="30" spans="1:28" s="95" customFormat="1" ht="15">
      <c r="A30" s="763" t="s">
        <v>256</v>
      </c>
      <c r="B30" s="308">
        <f>úpravy!C46</f>
        <v>40946</v>
      </c>
      <c r="C30" s="309">
        <f>úpravy!D46</f>
        <v>19193</v>
      </c>
      <c r="D30" s="308">
        <f>úpravy!E46</f>
        <v>36231</v>
      </c>
      <c r="E30" s="308">
        <f>úpravy!F46</f>
        <v>40576</v>
      </c>
      <c r="F30" s="308">
        <f>úpravy!G46</f>
        <v>18022</v>
      </c>
      <c r="G30" s="308">
        <f>úpravy!H46</f>
        <v>30640</v>
      </c>
      <c r="H30" s="308">
        <f>úpravy!I46</f>
        <v>0</v>
      </c>
      <c r="I30" s="308">
        <f>úpravy!J46</f>
        <v>10034</v>
      </c>
      <c r="J30" s="308">
        <v>0</v>
      </c>
      <c r="K30" s="308">
        <v>0</v>
      </c>
      <c r="L30" s="577">
        <f t="shared" si="15"/>
        <v>195642</v>
      </c>
      <c r="M30" s="308">
        <f>úpravy!K46</f>
        <v>0</v>
      </c>
      <c r="N30" s="308"/>
      <c r="O30" s="309">
        <f>úpravy!O46</f>
        <v>26446</v>
      </c>
      <c r="P30" s="522"/>
      <c r="Q30" s="308"/>
      <c r="R30" s="324">
        <f>úpravy!R46</f>
        <v>46557</v>
      </c>
      <c r="S30" s="310">
        <f t="shared" si="13"/>
        <v>268645</v>
      </c>
      <c r="T30" s="465">
        <f>L30+O30</f>
        <v>222088</v>
      </c>
      <c r="U30" s="465"/>
      <c r="V30" s="337"/>
      <c r="W30" s="203"/>
      <c r="Z30" s="21"/>
      <c r="AA30" s="21"/>
      <c r="AB30" s="21"/>
    </row>
    <row r="31" spans="1:28" s="95" customFormat="1" ht="15">
      <c r="A31" s="763" t="s">
        <v>255</v>
      </c>
      <c r="B31" s="308">
        <f>úpravy!C49+úpravy!C52</f>
        <v>20911</v>
      </c>
      <c r="C31" s="309">
        <f>úpravy!D49+úpravy!D52</f>
        <v>8678</v>
      </c>
      <c r="D31" s="308">
        <f>úpravy!E49+úpravy!E52</f>
        <v>14522</v>
      </c>
      <c r="E31" s="308">
        <f>úpravy!F49+úpravy!F52</f>
        <v>21959</v>
      </c>
      <c r="F31" s="308">
        <f>úpravy!G49+úpravy!G52</f>
        <v>9324</v>
      </c>
      <c r="G31" s="308">
        <f>úpravy!H49+úpravy!H52</f>
        <v>19253</v>
      </c>
      <c r="H31" s="308">
        <v>0</v>
      </c>
      <c r="I31" s="308">
        <f>úpravy!J49+úpravy!J52</f>
        <v>7005</v>
      </c>
      <c r="J31" s="308">
        <v>0</v>
      </c>
      <c r="K31" s="308">
        <v>0</v>
      </c>
      <c r="L31" s="577">
        <f t="shared" si="15"/>
        <v>101652</v>
      </c>
      <c r="M31" s="308">
        <v>0</v>
      </c>
      <c r="N31" s="308">
        <v>0</v>
      </c>
      <c r="O31" s="309">
        <f>úpravy!O49+úpravy!O52</f>
        <v>12577</v>
      </c>
      <c r="P31" s="522"/>
      <c r="Q31" s="309"/>
      <c r="R31" s="324">
        <f>úpravy!R49</f>
        <v>0</v>
      </c>
      <c r="S31" s="310">
        <f t="shared" si="13"/>
        <v>114229</v>
      </c>
      <c r="T31" s="465">
        <f>L57+O57</f>
        <v>43256</v>
      </c>
      <c r="U31" s="465"/>
      <c r="V31" s="337"/>
      <c r="W31" s="203"/>
      <c r="Z31" s="21"/>
      <c r="AA31" s="21"/>
      <c r="AB31" s="21"/>
    </row>
    <row r="32" spans="1:28" s="95" customFormat="1" ht="30">
      <c r="A32" s="763" t="s">
        <v>257</v>
      </c>
      <c r="B32" s="308"/>
      <c r="C32" s="309"/>
      <c r="D32" s="308"/>
      <c r="E32" s="308"/>
      <c r="F32" s="308"/>
      <c r="G32" s="308"/>
      <c r="H32" s="308"/>
      <c r="I32" s="308"/>
      <c r="J32" s="308"/>
      <c r="K32" s="308"/>
      <c r="L32" s="577">
        <f t="shared" si="15"/>
        <v>0</v>
      </c>
      <c r="M32" s="308"/>
      <c r="N32" s="308"/>
      <c r="O32" s="309"/>
      <c r="P32" s="522">
        <f>úpravy!P55+úpravy!P56</f>
        <v>9522</v>
      </c>
      <c r="Q32" s="309"/>
      <c r="R32" s="324">
        <f>úpravy!R55+úpravy!R56</f>
        <v>0</v>
      </c>
      <c r="S32" s="310">
        <f t="shared" si="13"/>
        <v>9522</v>
      </c>
      <c r="T32" s="465">
        <f>L108+M108</f>
        <v>27049</v>
      </c>
      <c r="U32" s="465"/>
      <c r="V32" s="337"/>
      <c r="W32" s="203"/>
      <c r="Z32" s="21"/>
      <c r="AA32" s="21"/>
      <c r="AB32" s="21"/>
    </row>
    <row r="33" spans="1:28" s="95" customFormat="1" ht="19.5" customHeight="1">
      <c r="A33" s="763" t="s">
        <v>240</v>
      </c>
      <c r="B33" s="308"/>
      <c r="C33" s="309"/>
      <c r="D33" s="308"/>
      <c r="E33" s="308"/>
      <c r="F33" s="308"/>
      <c r="G33" s="308"/>
      <c r="H33" s="308"/>
      <c r="I33" s="308"/>
      <c r="J33" s="308"/>
      <c r="K33" s="308"/>
      <c r="L33" s="577">
        <f t="shared" si="15"/>
        <v>0</v>
      </c>
      <c r="M33" s="308"/>
      <c r="N33" s="308"/>
      <c r="O33" s="309"/>
      <c r="P33" s="522"/>
      <c r="Q33" s="309"/>
      <c r="R33" s="324">
        <f>úpravy!R57</f>
        <v>66397</v>
      </c>
      <c r="S33" s="310">
        <f t="shared" si="13"/>
        <v>66397</v>
      </c>
      <c r="T33" s="465"/>
      <c r="U33" s="465"/>
      <c r="V33" s="337"/>
      <c r="W33" s="203"/>
      <c r="Z33" s="21"/>
      <c r="AA33" s="21"/>
      <c r="AB33" s="21"/>
    </row>
    <row r="34" spans="1:28" s="95" customFormat="1" ht="19.5" customHeight="1">
      <c r="A34" s="763" t="s">
        <v>245</v>
      </c>
      <c r="B34" s="308">
        <f>úpravy!C64</f>
        <v>145595</v>
      </c>
      <c r="C34" s="308">
        <f>úpravy!D64</f>
        <v>66948</v>
      </c>
      <c r="D34" s="308">
        <f>úpravy!E64</f>
        <v>125506</v>
      </c>
      <c r="E34" s="308">
        <f>úpravy!F64</f>
        <v>142497</v>
      </c>
      <c r="F34" s="308">
        <f>úpravy!G64</f>
        <v>63470</v>
      </c>
      <c r="G34" s="308">
        <f>úpravy!H64</f>
        <v>110764</v>
      </c>
      <c r="H34" s="308">
        <f>úpravy!I64</f>
        <v>0</v>
      </c>
      <c r="I34" s="308">
        <f>úpravy!J64</f>
        <v>37544</v>
      </c>
      <c r="J34" s="308">
        <f>úpravy!K64</f>
        <v>0</v>
      </c>
      <c r="K34" s="308">
        <f>úpravy!L64</f>
        <v>0</v>
      </c>
      <c r="L34" s="577">
        <f t="shared" si="15"/>
        <v>692324</v>
      </c>
      <c r="M34" s="308">
        <f>úpravy!K64</f>
        <v>0</v>
      </c>
      <c r="N34" s="308">
        <f>úpravy!L64</f>
        <v>0</v>
      </c>
      <c r="O34" s="308">
        <f>úpravy!O64</f>
        <v>101448</v>
      </c>
      <c r="P34" s="308">
        <f>úpravy!P64</f>
        <v>0</v>
      </c>
      <c r="Q34" s="309"/>
      <c r="R34" s="324">
        <f>úpravy!R64</f>
        <v>47862</v>
      </c>
      <c r="S34" s="310">
        <f t="shared" si="13"/>
        <v>841634</v>
      </c>
      <c r="T34" s="465"/>
      <c r="U34" s="465"/>
      <c r="V34" s="337"/>
      <c r="W34" s="203"/>
      <c r="Z34" s="21"/>
      <c r="AA34" s="21"/>
      <c r="AB34" s="21"/>
    </row>
    <row r="35" spans="1:28" s="95" customFormat="1" ht="19.5" customHeight="1">
      <c r="A35" s="763" t="s">
        <v>254</v>
      </c>
      <c r="B35" s="308"/>
      <c r="C35" s="309"/>
      <c r="D35" s="308"/>
      <c r="E35" s="308"/>
      <c r="F35" s="308"/>
      <c r="G35" s="308"/>
      <c r="H35" s="308"/>
      <c r="I35" s="308"/>
      <c r="J35" s="308"/>
      <c r="K35" s="308"/>
      <c r="L35" s="577">
        <f t="shared" si="15"/>
        <v>0</v>
      </c>
      <c r="M35" s="308"/>
      <c r="N35" s="308"/>
      <c r="O35" s="309"/>
      <c r="P35" s="522"/>
      <c r="Q35" s="309"/>
      <c r="R35" s="324">
        <f>úpravy!R69</f>
        <v>110728</v>
      </c>
      <c r="S35" s="310">
        <f t="shared" si="13"/>
        <v>110728</v>
      </c>
      <c r="T35" s="465"/>
      <c r="U35" s="465"/>
      <c r="V35" s="337"/>
      <c r="W35" s="203"/>
      <c r="Z35" s="21"/>
      <c r="AA35" s="21"/>
      <c r="AB35" s="21"/>
    </row>
    <row r="36" spans="1:28" s="95" customFormat="1" ht="15">
      <c r="A36" s="498" t="s">
        <v>99</v>
      </c>
      <c r="B36" s="335"/>
      <c r="C36" s="336">
        <v>44000</v>
      </c>
      <c r="D36" s="335"/>
      <c r="E36" s="335"/>
      <c r="F36" s="335"/>
      <c r="G36" s="335"/>
      <c r="H36" s="335"/>
      <c r="I36" s="335"/>
      <c r="J36" s="335"/>
      <c r="K36" s="335"/>
      <c r="L36" s="577">
        <f>SUM(B36:K36)</f>
        <v>44000</v>
      </c>
      <c r="M36" s="308"/>
      <c r="N36" s="308"/>
      <c r="O36" s="309"/>
      <c r="P36" s="311"/>
      <c r="Q36" s="338">
        <f>33107-33107</f>
        <v>0</v>
      </c>
      <c r="R36" s="881"/>
      <c r="S36" s="705">
        <f t="shared" si="13"/>
        <v>44000</v>
      </c>
      <c r="T36" s="465">
        <f>SUM(T30:T32)</f>
        <v>292393</v>
      </c>
      <c r="U36" s="465"/>
      <c r="V36" s="337"/>
      <c r="W36" s="203"/>
      <c r="Z36" s="21"/>
      <c r="AA36" s="21"/>
      <c r="AB36" s="21"/>
    </row>
    <row r="37" spans="1:23" s="95" customFormat="1" ht="15">
      <c r="A37" s="498" t="s">
        <v>100</v>
      </c>
      <c r="B37" s="335"/>
      <c r="C37" s="336">
        <v>15000</v>
      </c>
      <c r="D37" s="335"/>
      <c r="E37" s="335"/>
      <c r="F37" s="335"/>
      <c r="G37" s="335"/>
      <c r="H37" s="335"/>
      <c r="I37" s="335"/>
      <c r="J37" s="335"/>
      <c r="K37" s="335"/>
      <c r="L37" s="577">
        <f>SUM(B37:K37)</f>
        <v>15000</v>
      </c>
      <c r="M37" s="308"/>
      <c r="N37" s="308"/>
      <c r="O37" s="309"/>
      <c r="P37" s="324"/>
      <c r="Q37" s="309"/>
      <c r="R37" s="324"/>
      <c r="S37" s="705">
        <f aca="true" t="shared" si="16" ref="S37:S50">L37+SUM(M37:R37)</f>
        <v>15000</v>
      </c>
      <c r="T37" s="465" t="s">
        <v>233</v>
      </c>
      <c r="U37" s="465"/>
      <c r="V37" s="337"/>
      <c r="W37" s="203"/>
    </row>
    <row r="38" spans="1:23" s="95" customFormat="1" ht="15">
      <c r="A38" s="548" t="s">
        <v>104</v>
      </c>
      <c r="B38" s="339"/>
      <c r="C38" s="340"/>
      <c r="D38" s="339"/>
      <c r="E38" s="339"/>
      <c r="F38" s="339">
        <f>úpravy!G103</f>
        <v>805</v>
      </c>
      <c r="G38" s="339"/>
      <c r="H38" s="339"/>
      <c r="I38" s="339"/>
      <c r="J38" s="339"/>
      <c r="K38" s="339"/>
      <c r="L38" s="583">
        <f aca="true" t="shared" si="17" ref="L38:L48">SUM(B38:K38)</f>
        <v>805</v>
      </c>
      <c r="M38" s="326"/>
      <c r="N38" s="326"/>
      <c r="O38" s="327"/>
      <c r="P38" s="311">
        <f>33755+úpravy!P103</f>
        <v>32950</v>
      </c>
      <c r="Q38" s="616"/>
      <c r="R38" s="311"/>
      <c r="S38" s="710">
        <f t="shared" si="16"/>
        <v>33755</v>
      </c>
      <c r="T38" s="465"/>
      <c r="U38" s="465"/>
      <c r="V38" s="337"/>
      <c r="W38" s="203"/>
    </row>
    <row r="39" spans="1:23" s="95" customFormat="1" ht="27" customHeight="1">
      <c r="A39" s="549" t="s">
        <v>105</v>
      </c>
      <c r="B39" s="339"/>
      <c r="C39" s="340"/>
      <c r="D39" s="339"/>
      <c r="E39" s="339"/>
      <c r="F39" s="339"/>
      <c r="G39" s="339"/>
      <c r="H39" s="339"/>
      <c r="I39" s="339"/>
      <c r="J39" s="339"/>
      <c r="K39" s="339"/>
      <c r="L39" s="583">
        <f t="shared" si="17"/>
        <v>0</v>
      </c>
      <c r="M39" s="326"/>
      <c r="N39" s="326"/>
      <c r="O39" s="327"/>
      <c r="P39" s="341">
        <v>38000</v>
      </c>
      <c r="Q39" s="327"/>
      <c r="R39" s="326"/>
      <c r="S39" s="710">
        <f t="shared" si="16"/>
        <v>38000</v>
      </c>
      <c r="T39" s="465"/>
      <c r="U39" s="465"/>
      <c r="V39" s="337"/>
      <c r="W39" s="203"/>
    </row>
    <row r="40" spans="1:23" s="95" customFormat="1" ht="15">
      <c r="A40" s="500" t="s">
        <v>106</v>
      </c>
      <c r="B40" s="335"/>
      <c r="C40" s="336"/>
      <c r="D40" s="335"/>
      <c r="E40" s="335"/>
      <c r="F40" s="335"/>
      <c r="G40" s="335"/>
      <c r="H40" s="335"/>
      <c r="I40" s="335"/>
      <c r="J40" s="335"/>
      <c r="K40" s="335"/>
      <c r="L40" s="584">
        <f t="shared" si="17"/>
        <v>0</v>
      </c>
      <c r="M40" s="308"/>
      <c r="N40" s="308"/>
      <c r="O40" s="309"/>
      <c r="P40" s="344">
        <v>75000</v>
      </c>
      <c r="Q40" s="309"/>
      <c r="R40" s="308"/>
      <c r="S40" s="705">
        <f t="shared" si="16"/>
        <v>75000</v>
      </c>
      <c r="T40" s="465"/>
      <c r="U40" s="465"/>
      <c r="V40" s="337"/>
      <c r="W40" s="203"/>
    </row>
    <row r="41" spans="1:23" s="95" customFormat="1" ht="15">
      <c r="A41" s="499" t="s">
        <v>107</v>
      </c>
      <c r="B41" s="335"/>
      <c r="C41" s="336"/>
      <c r="D41" s="335"/>
      <c r="E41" s="335"/>
      <c r="F41" s="335"/>
      <c r="G41" s="335"/>
      <c r="H41" s="335"/>
      <c r="I41" s="335"/>
      <c r="J41" s="335"/>
      <c r="K41" s="335"/>
      <c r="L41" s="584">
        <f t="shared" si="17"/>
        <v>0</v>
      </c>
      <c r="M41" s="308"/>
      <c r="N41" s="308"/>
      <c r="O41" s="309"/>
      <c r="P41" s="344">
        <v>494252</v>
      </c>
      <c r="Q41" s="309"/>
      <c r="R41" s="308"/>
      <c r="S41" s="705">
        <f t="shared" si="16"/>
        <v>494252</v>
      </c>
      <c r="T41" s="465"/>
      <c r="U41" s="465"/>
      <c r="V41" s="337"/>
      <c r="W41" s="203"/>
    </row>
    <row r="42" spans="1:23" s="95" customFormat="1" ht="15">
      <c r="A42" s="499" t="s">
        <v>108</v>
      </c>
      <c r="B42" s="335"/>
      <c r="C42" s="336"/>
      <c r="D42" s="335"/>
      <c r="E42" s="335"/>
      <c r="F42" s="335"/>
      <c r="G42" s="335"/>
      <c r="H42" s="335"/>
      <c r="I42" s="335"/>
      <c r="J42" s="335"/>
      <c r="K42" s="335"/>
      <c r="L42" s="584">
        <f t="shared" si="17"/>
        <v>0</v>
      </c>
      <c r="M42" s="308"/>
      <c r="N42" s="308"/>
      <c r="O42" s="309"/>
      <c r="P42" s="344">
        <v>4000</v>
      </c>
      <c r="Q42" s="309"/>
      <c r="R42" s="308"/>
      <c r="S42" s="705">
        <f t="shared" si="16"/>
        <v>4000</v>
      </c>
      <c r="T42" s="465"/>
      <c r="U42" s="465"/>
      <c r="V42" s="337"/>
      <c r="W42" s="203"/>
    </row>
    <row r="43" spans="1:23" s="95" customFormat="1" ht="15">
      <c r="A43" s="499" t="s">
        <v>109</v>
      </c>
      <c r="B43" s="335"/>
      <c r="C43" s="336"/>
      <c r="D43" s="335"/>
      <c r="E43" s="335"/>
      <c r="F43" s="335"/>
      <c r="G43" s="335"/>
      <c r="H43" s="335"/>
      <c r="I43" s="335"/>
      <c r="J43" s="335"/>
      <c r="K43" s="335"/>
      <c r="L43" s="584">
        <f t="shared" si="17"/>
        <v>0</v>
      </c>
      <c r="M43" s="308"/>
      <c r="N43" s="308"/>
      <c r="O43" s="309"/>
      <c r="P43" s="344">
        <v>5000</v>
      </c>
      <c r="Q43" s="309"/>
      <c r="R43" s="308"/>
      <c r="S43" s="705">
        <f t="shared" si="16"/>
        <v>5000</v>
      </c>
      <c r="T43" s="465"/>
      <c r="U43" s="465"/>
      <c r="V43" s="337"/>
      <c r="W43" s="203"/>
    </row>
    <row r="44" spans="1:23" s="95" customFormat="1" ht="15">
      <c r="A44" s="499" t="s">
        <v>110</v>
      </c>
      <c r="B44" s="335"/>
      <c r="C44" s="336"/>
      <c r="D44" s="335"/>
      <c r="E44" s="335"/>
      <c r="F44" s="335"/>
      <c r="G44" s="335"/>
      <c r="H44" s="335"/>
      <c r="I44" s="335"/>
      <c r="J44" s="335"/>
      <c r="K44" s="335"/>
      <c r="L44" s="584">
        <f t="shared" si="17"/>
        <v>0</v>
      </c>
      <c r="M44" s="308"/>
      <c r="N44" s="308"/>
      <c r="O44" s="309"/>
      <c r="P44" s="344">
        <v>10000</v>
      </c>
      <c r="Q44" s="309"/>
      <c r="R44" s="308"/>
      <c r="S44" s="705">
        <f t="shared" si="16"/>
        <v>10000</v>
      </c>
      <c r="T44" s="465"/>
      <c r="U44" s="465"/>
      <c r="V44" s="337"/>
      <c r="W44" s="203"/>
    </row>
    <row r="45" spans="1:23" s="95" customFormat="1" ht="15">
      <c r="A45" s="499" t="s">
        <v>111</v>
      </c>
      <c r="B45" s="335"/>
      <c r="C45" s="336"/>
      <c r="D45" s="335"/>
      <c r="E45" s="335"/>
      <c r="F45" s="335"/>
      <c r="G45" s="335"/>
      <c r="H45" s="335"/>
      <c r="I45" s="335"/>
      <c r="J45" s="335"/>
      <c r="K45" s="335"/>
      <c r="L45" s="584">
        <f t="shared" si="17"/>
        <v>0</v>
      </c>
      <c r="M45" s="308"/>
      <c r="N45" s="308"/>
      <c r="O45" s="309"/>
      <c r="P45" s="344">
        <v>20000</v>
      </c>
      <c r="Q45" s="309"/>
      <c r="R45" s="308"/>
      <c r="S45" s="705">
        <f t="shared" si="16"/>
        <v>20000</v>
      </c>
      <c r="T45" s="465"/>
      <c r="U45" s="465"/>
      <c r="V45" s="337"/>
      <c r="W45" s="203"/>
    </row>
    <row r="46" spans="1:23" s="95" customFormat="1" ht="30">
      <c r="A46" s="499" t="s">
        <v>112</v>
      </c>
      <c r="B46" s="335"/>
      <c r="C46" s="336"/>
      <c r="D46" s="335"/>
      <c r="E46" s="335"/>
      <c r="F46" s="335"/>
      <c r="G46" s="335"/>
      <c r="H46" s="335"/>
      <c r="I46" s="335"/>
      <c r="J46" s="335"/>
      <c r="K46" s="335"/>
      <c r="L46" s="584">
        <f t="shared" si="17"/>
        <v>0</v>
      </c>
      <c r="M46" s="308"/>
      <c r="N46" s="308"/>
      <c r="O46" s="309"/>
      <c r="P46" s="344">
        <v>60000</v>
      </c>
      <c r="Q46" s="309"/>
      <c r="R46" s="308"/>
      <c r="S46" s="705">
        <f t="shared" si="16"/>
        <v>60000</v>
      </c>
      <c r="T46" s="465"/>
      <c r="U46" s="465"/>
      <c r="V46" s="337"/>
      <c r="W46" s="203"/>
    </row>
    <row r="47" spans="1:23" s="95" customFormat="1" ht="15">
      <c r="A47" s="499" t="s">
        <v>114</v>
      </c>
      <c r="B47" s="335"/>
      <c r="C47" s="336"/>
      <c r="D47" s="335"/>
      <c r="E47" s="335"/>
      <c r="F47" s="335"/>
      <c r="G47" s="335"/>
      <c r="H47" s="335"/>
      <c r="I47" s="335"/>
      <c r="J47" s="335"/>
      <c r="K47" s="335"/>
      <c r="L47" s="584">
        <f t="shared" si="17"/>
        <v>0</v>
      </c>
      <c r="M47" s="308"/>
      <c r="N47" s="308"/>
      <c r="O47" s="309"/>
      <c r="P47" s="344">
        <f>26000+úpravy!Q167</f>
        <v>0</v>
      </c>
      <c r="Q47" s="309"/>
      <c r="R47" s="308"/>
      <c r="S47" s="705">
        <f t="shared" si="16"/>
        <v>0</v>
      </c>
      <c r="T47" s="465"/>
      <c r="U47" s="465"/>
      <c r="V47" s="337"/>
      <c r="W47" s="203"/>
    </row>
    <row r="48" spans="1:23" s="95" customFormat="1" ht="15">
      <c r="A48" s="499" t="s">
        <v>113</v>
      </c>
      <c r="B48" s="335"/>
      <c r="C48" s="336"/>
      <c r="D48" s="335"/>
      <c r="E48" s="335"/>
      <c r="F48" s="335"/>
      <c r="G48" s="335"/>
      <c r="H48" s="335"/>
      <c r="I48" s="335"/>
      <c r="J48" s="335"/>
      <c r="K48" s="335"/>
      <c r="L48" s="584">
        <f t="shared" si="17"/>
        <v>0</v>
      </c>
      <c r="M48" s="308"/>
      <c r="N48" s="308"/>
      <c r="O48" s="309"/>
      <c r="P48" s="344">
        <v>50000</v>
      </c>
      <c r="Q48" s="616"/>
      <c r="R48" s="308"/>
      <c r="S48" s="705">
        <f t="shared" si="16"/>
        <v>50000</v>
      </c>
      <c r="T48" s="465"/>
      <c r="U48" s="465"/>
      <c r="V48" s="337"/>
      <c r="W48" s="203"/>
    </row>
    <row r="49" spans="1:23" s="95" customFormat="1" ht="15">
      <c r="A49" s="506" t="s">
        <v>123</v>
      </c>
      <c r="B49" s="324"/>
      <c r="C49" s="495"/>
      <c r="D49" s="324"/>
      <c r="E49" s="324"/>
      <c r="F49" s="324"/>
      <c r="G49" s="324"/>
      <c r="H49" s="324"/>
      <c r="I49" s="324"/>
      <c r="J49" s="324"/>
      <c r="K49" s="324"/>
      <c r="L49" s="587">
        <f>B49+C49+D49+E49+F49+G49+I49+J49+K49</f>
        <v>0</v>
      </c>
      <c r="M49" s="308"/>
      <c r="N49" s="308"/>
      <c r="O49" s="309"/>
      <c r="P49" s="344">
        <f>0+úpravy!P163</f>
        <v>45195.04</v>
      </c>
      <c r="Q49" s="607"/>
      <c r="R49" s="308"/>
      <c r="S49" s="705">
        <f t="shared" si="16"/>
        <v>45195.04</v>
      </c>
      <c r="T49" s="465"/>
      <c r="U49" s="465"/>
      <c r="V49" s="337"/>
      <c r="W49" s="203"/>
    </row>
    <row r="50" spans="1:23" s="95" customFormat="1" ht="15.75" thickBot="1">
      <c r="A50" s="508" t="s">
        <v>124</v>
      </c>
      <c r="B50" s="324"/>
      <c r="C50" s="336"/>
      <c r="D50" s="324"/>
      <c r="E50" s="324"/>
      <c r="F50" s="324"/>
      <c r="G50" s="324"/>
      <c r="H50" s="324"/>
      <c r="I50" s="324"/>
      <c r="J50" s="324"/>
      <c r="K50" s="324"/>
      <c r="L50" s="587">
        <f>B50+D50+E50+F50+G50+I50+J50+K50</f>
        <v>0</v>
      </c>
      <c r="M50" s="308"/>
      <c r="N50" s="308"/>
      <c r="O50" s="309"/>
      <c r="P50" s="707">
        <f>0+úpravy!P161</f>
        <v>9500</v>
      </c>
      <c r="Q50" s="708"/>
      <c r="R50" s="711"/>
      <c r="S50" s="705">
        <f t="shared" si="16"/>
        <v>9500</v>
      </c>
      <c r="T50" s="465"/>
      <c r="U50" s="465"/>
      <c r="V50" s="337"/>
      <c r="W50" s="203"/>
    </row>
    <row r="51" spans="1:23" s="26" customFormat="1" ht="26.25" customHeight="1" thickBot="1">
      <c r="A51" s="238" t="s">
        <v>14</v>
      </c>
      <c r="B51" s="348">
        <f aca="true" t="shared" si="18" ref="B51:K51">B52+B85+B86</f>
        <v>3201278</v>
      </c>
      <c r="C51" s="349">
        <f t="shared" si="18"/>
        <v>988755</v>
      </c>
      <c r="D51" s="348">
        <f t="shared" si="18"/>
        <v>3879217.33</v>
      </c>
      <c r="E51" s="348">
        <f t="shared" si="18"/>
        <v>4385895</v>
      </c>
      <c r="F51" s="348">
        <f t="shared" si="18"/>
        <v>1262245</v>
      </c>
      <c r="G51" s="348">
        <f t="shared" si="18"/>
        <v>2765997</v>
      </c>
      <c r="H51" s="348">
        <f>H52+H85+H86</f>
        <v>57103.49</v>
      </c>
      <c r="I51" s="348">
        <f t="shared" si="18"/>
        <v>822131</v>
      </c>
      <c r="J51" s="348">
        <f t="shared" si="18"/>
        <v>168439</v>
      </c>
      <c r="K51" s="348">
        <f t="shared" si="18"/>
        <v>95251.51000000001</v>
      </c>
      <c r="L51" s="585">
        <f aca="true" t="shared" si="19" ref="L51:L62">SUM(B51:K51)</f>
        <v>17626312.330000002</v>
      </c>
      <c r="M51" s="348">
        <f aca="true" t="shared" si="20" ref="M51:R51">M52+M85+M86</f>
        <v>0</v>
      </c>
      <c r="N51" s="348">
        <f t="shared" si="20"/>
        <v>0</v>
      </c>
      <c r="O51" s="349">
        <f t="shared" si="20"/>
        <v>414093.6</v>
      </c>
      <c r="P51" s="348">
        <f t="shared" si="20"/>
        <v>502446.31</v>
      </c>
      <c r="Q51" s="348">
        <f t="shared" si="20"/>
        <v>924067.0700000001</v>
      </c>
      <c r="R51" s="349">
        <f t="shared" si="20"/>
        <v>634703</v>
      </c>
      <c r="S51" s="348">
        <f aca="true" t="shared" si="21" ref="S51:S61">L51+SUM(M51:R51)</f>
        <v>20101622.310000002</v>
      </c>
      <c r="T51" s="468"/>
      <c r="U51" s="468"/>
      <c r="V51" s="294"/>
      <c r="W51" s="201"/>
    </row>
    <row r="52" spans="1:23" s="26" customFormat="1" ht="27" customHeight="1" thickBot="1">
      <c r="A52" s="350" t="s">
        <v>137</v>
      </c>
      <c r="B52" s="351">
        <f aca="true" t="shared" si="22" ref="B52:K52">SUM(B53:B84)</f>
        <v>2648044</v>
      </c>
      <c r="C52" s="560">
        <f t="shared" si="22"/>
        <v>705290</v>
      </c>
      <c r="D52" s="351">
        <f t="shared" si="22"/>
        <v>3356665.33</v>
      </c>
      <c r="E52" s="351">
        <f t="shared" si="22"/>
        <v>3766303</v>
      </c>
      <c r="F52" s="351">
        <f t="shared" si="22"/>
        <v>1218489</v>
      </c>
      <c r="G52" s="351">
        <f t="shared" si="22"/>
        <v>2455542</v>
      </c>
      <c r="H52" s="351">
        <f>SUM(H53:H84)</f>
        <v>57103.49</v>
      </c>
      <c r="I52" s="351">
        <f t="shared" si="22"/>
        <v>799409</v>
      </c>
      <c r="J52" s="351">
        <f t="shared" si="22"/>
        <v>161625</v>
      </c>
      <c r="K52" s="351">
        <f t="shared" si="22"/>
        <v>95251.51000000001</v>
      </c>
      <c r="L52" s="354">
        <f t="shared" si="19"/>
        <v>15263722.33</v>
      </c>
      <c r="M52" s="353"/>
      <c r="N52" s="353"/>
      <c r="O52" s="560">
        <f>SUM(O53:O84)</f>
        <v>414093.6</v>
      </c>
      <c r="P52" s="354">
        <f>SUM(P53:P84)</f>
        <v>502446.31</v>
      </c>
      <c r="Q52" s="352">
        <f>SUM(Q53:Q84)</f>
        <v>924067.0700000001</v>
      </c>
      <c r="R52" s="354">
        <f>SUM(R53:R84)</f>
        <v>634703</v>
      </c>
      <c r="S52" s="351">
        <f t="shared" si="21"/>
        <v>17739032.31</v>
      </c>
      <c r="T52" s="467">
        <f>26176804</f>
        <v>26176804</v>
      </c>
      <c r="U52" s="468"/>
      <c r="V52" s="294"/>
      <c r="W52" s="201"/>
    </row>
    <row r="53" spans="1:23" s="26" customFormat="1" ht="14.25">
      <c r="A53" s="502" t="s">
        <v>63</v>
      </c>
      <c r="B53" s="335">
        <f>4482571+úpravy!C143+úpravy!C144</f>
        <v>2491171</v>
      </c>
      <c r="C53" s="336">
        <f>1836372+úpravy!D139+úpravy!D140+úpravy!D152</f>
        <v>650483</v>
      </c>
      <c r="D53" s="335">
        <f>5423086+úpravy!E139+úpravy!E140+úpravy!E156</f>
        <v>3198086</v>
      </c>
      <c r="E53" s="335">
        <f>5318365+úpravy!F156</f>
        <v>3443969</v>
      </c>
      <c r="F53" s="335">
        <v>1199630</v>
      </c>
      <c r="G53" s="335">
        <v>2345601</v>
      </c>
      <c r="H53" s="335">
        <f>úpravy!I101</f>
        <v>57103.49</v>
      </c>
      <c r="I53" s="335">
        <v>763159</v>
      </c>
      <c r="J53" s="335">
        <f>494625+úpravy!M147+úpravy!M148</f>
        <v>156625</v>
      </c>
      <c r="K53" s="335">
        <f>152355+úpravy!N101</f>
        <v>95251.51000000001</v>
      </c>
      <c r="L53" s="584">
        <f t="shared" si="19"/>
        <v>14401079</v>
      </c>
      <c r="M53" s="335"/>
      <c r="N53" s="335"/>
      <c r="O53" s="609">
        <v>0</v>
      </c>
      <c r="P53" s="355"/>
      <c r="Q53" s="355"/>
      <c r="R53" s="960">
        <f>54739+úpravy!R175</f>
        <v>0</v>
      </c>
      <c r="S53" s="501">
        <f t="shared" si="21"/>
        <v>14401079</v>
      </c>
      <c r="T53" s="469"/>
      <c r="U53" s="469"/>
      <c r="V53" s="294"/>
      <c r="W53" s="201"/>
    </row>
    <row r="54" spans="1:23" s="26" customFormat="1" ht="14.25">
      <c r="A54" s="502" t="s">
        <v>156</v>
      </c>
      <c r="B54" s="335"/>
      <c r="C54" s="561"/>
      <c r="D54" s="335"/>
      <c r="E54" s="335"/>
      <c r="F54" s="335"/>
      <c r="G54" s="335"/>
      <c r="H54" s="335"/>
      <c r="I54" s="335"/>
      <c r="J54" s="335"/>
      <c r="K54" s="335"/>
      <c r="L54" s="584">
        <f t="shared" si="19"/>
        <v>0</v>
      </c>
      <c r="M54" s="335"/>
      <c r="N54" s="335"/>
      <c r="O54" s="610">
        <f>850000+úpravy!O139+úpravy!O175</f>
        <v>271039</v>
      </c>
      <c r="P54" s="339"/>
      <c r="Q54" s="335"/>
      <c r="R54" s="960"/>
      <c r="S54" s="628">
        <f t="shared" si="21"/>
        <v>271039</v>
      </c>
      <c r="T54" s="469"/>
      <c r="U54" s="469"/>
      <c r="V54" s="294"/>
      <c r="W54" s="201"/>
    </row>
    <row r="55" spans="1:27" s="26" customFormat="1" ht="15">
      <c r="A55" s="502" t="s">
        <v>157</v>
      </c>
      <c r="B55" s="521"/>
      <c r="C55" s="561"/>
      <c r="D55" s="335"/>
      <c r="E55" s="335"/>
      <c r="F55" s="335"/>
      <c r="G55" s="335"/>
      <c r="H55" s="335"/>
      <c r="I55" s="335"/>
      <c r="J55" s="335"/>
      <c r="K55" s="335"/>
      <c r="L55" s="584">
        <f t="shared" si="19"/>
        <v>0</v>
      </c>
      <c r="M55" s="335"/>
      <c r="N55" s="335"/>
      <c r="O55" s="610">
        <f>299200+úpravy!O140</f>
        <v>87700</v>
      </c>
      <c r="P55" s="339"/>
      <c r="Q55" s="335"/>
      <c r="R55" s="960"/>
      <c r="S55" s="628">
        <f t="shared" si="21"/>
        <v>87700</v>
      </c>
      <c r="T55" s="469"/>
      <c r="U55" s="469"/>
      <c r="V55" s="294"/>
      <c r="W55" s="201"/>
      <c r="Z55" s="1079"/>
      <c r="AA55" s="1080"/>
    </row>
    <row r="56" spans="1:27" s="26" customFormat="1" ht="15">
      <c r="A56" s="763" t="s">
        <v>258</v>
      </c>
      <c r="B56" s="521"/>
      <c r="C56" s="561"/>
      <c r="D56" s="335"/>
      <c r="E56" s="335"/>
      <c r="F56" s="335"/>
      <c r="G56" s="335"/>
      <c r="H56" s="335"/>
      <c r="I56" s="335"/>
      <c r="J56" s="335"/>
      <c r="K56" s="335"/>
      <c r="L56" s="584">
        <f t="shared" si="19"/>
        <v>0</v>
      </c>
      <c r="M56" s="335"/>
      <c r="N56" s="335"/>
      <c r="O56" s="610">
        <f>úpravy!O44</f>
        <v>45000</v>
      </c>
      <c r="P56" s="339"/>
      <c r="Q56" s="335"/>
      <c r="R56" s="960">
        <f>úpravy!R71</f>
        <v>10000</v>
      </c>
      <c r="S56" s="628">
        <f t="shared" si="21"/>
        <v>55000</v>
      </c>
      <c r="T56" s="469"/>
      <c r="U56" s="469"/>
      <c r="V56" s="294"/>
      <c r="W56" s="201"/>
      <c r="Z56" s="1081"/>
      <c r="AA56" s="1081"/>
    </row>
    <row r="57" spans="1:27" s="26" customFormat="1" ht="15">
      <c r="A57" s="763" t="s">
        <v>256</v>
      </c>
      <c r="B57" s="521">
        <f>úpravy!C47</f>
        <v>4427</v>
      </c>
      <c r="C57" s="968">
        <f>úpravy!D47</f>
        <v>3068</v>
      </c>
      <c r="D57" s="335">
        <f>úpravy!E47</f>
        <v>9668</v>
      </c>
      <c r="E57" s="335">
        <f>úpravy!F47</f>
        <v>9790</v>
      </c>
      <c r="F57" s="335">
        <f>úpravy!G47</f>
        <v>2045</v>
      </c>
      <c r="G57" s="335">
        <f>úpravy!H47</f>
        <v>9633</v>
      </c>
      <c r="H57" s="335"/>
      <c r="I57" s="335">
        <f>úpravy!J47</f>
        <v>1513</v>
      </c>
      <c r="J57" s="335"/>
      <c r="K57" s="335"/>
      <c r="L57" s="584">
        <f t="shared" si="19"/>
        <v>40144</v>
      </c>
      <c r="M57" s="335"/>
      <c r="N57" s="335"/>
      <c r="O57" s="610">
        <f>úpravy!O47</f>
        <v>3112</v>
      </c>
      <c r="P57" s="339"/>
      <c r="Q57" s="335"/>
      <c r="R57" s="960">
        <f>úpravy!R47+úpravy!R157</f>
        <v>9546</v>
      </c>
      <c r="S57" s="628">
        <f t="shared" si="21"/>
        <v>52802</v>
      </c>
      <c r="T57" s="469"/>
      <c r="U57" s="469"/>
      <c r="V57" s="294"/>
      <c r="W57" s="201"/>
      <c r="Z57" s="1081"/>
      <c r="AA57" s="1081"/>
    </row>
    <row r="58" spans="1:27" s="26" customFormat="1" ht="15">
      <c r="A58" s="763" t="s">
        <v>255</v>
      </c>
      <c r="B58" s="521">
        <f>úpravy!C50+úpravy!C53</f>
        <v>1891</v>
      </c>
      <c r="C58" s="968">
        <f>úpravy!D50+úpravy!D53</f>
        <v>1947</v>
      </c>
      <c r="D58" s="335">
        <f>úpravy!E50+úpravy!E53</f>
        <v>1542</v>
      </c>
      <c r="E58" s="335">
        <f>úpravy!F50+úpravy!F53</f>
        <v>5028</v>
      </c>
      <c r="F58" s="335">
        <f>úpravy!G50</f>
        <v>0</v>
      </c>
      <c r="G58" s="335">
        <f>úpravy!H50+úpravy!H53</f>
        <v>5810</v>
      </c>
      <c r="H58" s="335">
        <v>0</v>
      </c>
      <c r="I58" s="335">
        <f>úpravy!J53</f>
        <v>550</v>
      </c>
      <c r="J58" s="335">
        <v>0</v>
      </c>
      <c r="K58" s="335">
        <v>0</v>
      </c>
      <c r="L58" s="584">
        <f t="shared" si="19"/>
        <v>16768</v>
      </c>
      <c r="M58" s="335"/>
      <c r="N58" s="335"/>
      <c r="O58" s="610">
        <f>úpravy!O50+úpravy!O53</f>
        <v>1601</v>
      </c>
      <c r="P58" s="339"/>
      <c r="Q58" s="335"/>
      <c r="R58" s="960">
        <f>úpravy!R50</f>
        <v>0</v>
      </c>
      <c r="S58" s="628">
        <f t="shared" si="21"/>
        <v>18369</v>
      </c>
      <c r="T58" s="469"/>
      <c r="U58" s="469"/>
      <c r="V58" s="294"/>
      <c r="W58" s="201"/>
      <c r="Z58" s="1081"/>
      <c r="AA58" s="1081"/>
    </row>
    <row r="59" spans="1:27" s="26" customFormat="1" ht="15">
      <c r="A59" s="763" t="s">
        <v>240</v>
      </c>
      <c r="B59" s="521"/>
      <c r="C59" s="968"/>
      <c r="D59" s="335"/>
      <c r="E59" s="335"/>
      <c r="F59" s="335"/>
      <c r="G59" s="335"/>
      <c r="H59" s="335"/>
      <c r="I59" s="335"/>
      <c r="J59" s="335"/>
      <c r="K59" s="335"/>
      <c r="L59" s="584">
        <f t="shared" si="19"/>
        <v>0</v>
      </c>
      <c r="M59" s="335"/>
      <c r="N59" s="335"/>
      <c r="O59" s="610"/>
      <c r="P59" s="339"/>
      <c r="Q59" s="335"/>
      <c r="R59" s="960">
        <f>úpravy!R58+úpravy!R59</f>
        <v>473505</v>
      </c>
      <c r="S59" s="628">
        <f t="shared" si="21"/>
        <v>473505</v>
      </c>
      <c r="T59" s="469"/>
      <c r="U59" s="469"/>
      <c r="V59" s="294"/>
      <c r="W59" s="201"/>
      <c r="Z59" s="1081"/>
      <c r="AA59" s="1081"/>
    </row>
    <row r="60" spans="1:27" s="26" customFormat="1" ht="15">
      <c r="A60" s="763" t="s">
        <v>245</v>
      </c>
      <c r="B60" s="521">
        <f>úpravy!C65</f>
        <v>15378</v>
      </c>
      <c r="C60" s="521">
        <f>úpravy!D65</f>
        <v>8806</v>
      </c>
      <c r="D60" s="521">
        <f>úpravy!E65</f>
        <v>35869</v>
      </c>
      <c r="E60" s="521">
        <f>úpravy!F65</f>
        <v>42154</v>
      </c>
      <c r="F60" s="521">
        <f>úpravy!G65</f>
        <v>7155</v>
      </c>
      <c r="G60" s="521">
        <f>úpravy!H65</f>
        <v>31962</v>
      </c>
      <c r="H60" s="521">
        <f>úpravy!I65</f>
        <v>0</v>
      </c>
      <c r="I60" s="521">
        <f>úpravy!J65</f>
        <v>6088</v>
      </c>
      <c r="J60" s="521">
        <f>úpravy!K65</f>
        <v>0</v>
      </c>
      <c r="K60" s="521">
        <f>úpravy!L65</f>
        <v>0</v>
      </c>
      <c r="L60" s="584">
        <f t="shared" si="19"/>
        <v>147412</v>
      </c>
      <c r="M60" s="335">
        <f>úpravy!K65</f>
        <v>0</v>
      </c>
      <c r="N60" s="335">
        <f>úpravy!L65</f>
        <v>0</v>
      </c>
      <c r="O60" s="335">
        <f>úpravy!O65</f>
        <v>1180</v>
      </c>
      <c r="P60" s="335">
        <f>úpravy!N65</f>
        <v>0</v>
      </c>
      <c r="Q60" s="335">
        <f>úpravy!Q65</f>
        <v>0</v>
      </c>
      <c r="R60" s="960">
        <f>úpravy!R65</f>
        <v>17265</v>
      </c>
      <c r="S60" s="628">
        <f t="shared" si="21"/>
        <v>165857</v>
      </c>
      <c r="T60" s="469"/>
      <c r="U60" s="469"/>
      <c r="V60" s="294"/>
      <c r="W60" s="201"/>
      <c r="Z60" s="1081"/>
      <c r="AA60" s="1081"/>
    </row>
    <row r="61" spans="1:27" s="26" customFormat="1" ht="15">
      <c r="A61" s="763" t="s">
        <v>247</v>
      </c>
      <c r="B61" s="521"/>
      <c r="C61" s="968"/>
      <c r="D61" s="335"/>
      <c r="E61" s="335"/>
      <c r="F61" s="335"/>
      <c r="G61" s="335"/>
      <c r="H61" s="335"/>
      <c r="I61" s="335"/>
      <c r="J61" s="335"/>
      <c r="K61" s="335"/>
      <c r="L61" s="584">
        <f t="shared" si="19"/>
        <v>0</v>
      </c>
      <c r="M61" s="335"/>
      <c r="N61" s="335"/>
      <c r="O61" s="610"/>
      <c r="P61" s="339"/>
      <c r="Q61" s="335"/>
      <c r="R61" s="960">
        <f>úpravy!R68</f>
        <v>124387</v>
      </c>
      <c r="S61" s="628">
        <f t="shared" si="21"/>
        <v>124387</v>
      </c>
      <c r="T61" s="469"/>
      <c r="U61" s="469"/>
      <c r="V61" s="294"/>
      <c r="W61" s="201"/>
      <c r="Z61" s="1081"/>
      <c r="AA61" s="1081"/>
    </row>
    <row r="62" spans="1:23" s="26" customFormat="1" ht="15">
      <c r="A62" s="550" t="s">
        <v>115</v>
      </c>
      <c r="B62" s="335">
        <v>60260</v>
      </c>
      <c r="C62" s="340"/>
      <c r="D62" s="335">
        <v>25108</v>
      </c>
      <c r="E62" s="335">
        <v>75325</v>
      </c>
      <c r="F62" s="335"/>
      <c r="G62" s="335"/>
      <c r="H62" s="335"/>
      <c r="I62" s="335"/>
      <c r="J62" s="335"/>
      <c r="K62" s="335"/>
      <c r="L62" s="586">
        <f t="shared" si="19"/>
        <v>160693</v>
      </c>
      <c r="M62" s="335"/>
      <c r="N62" s="335"/>
      <c r="O62" s="340"/>
      <c r="P62" s="339"/>
      <c r="Q62" s="335"/>
      <c r="R62" s="960"/>
      <c r="S62" s="628">
        <f aca="true" t="shared" si="23" ref="S62:S82">L62+M62+N62+O62+P62+Q62+R62</f>
        <v>160693</v>
      </c>
      <c r="T62" s="469"/>
      <c r="U62" s="469"/>
      <c r="V62" s="294"/>
      <c r="W62" s="201"/>
    </row>
    <row r="63" spans="1:23" s="26" customFormat="1" ht="15">
      <c r="A63" s="550" t="s">
        <v>133</v>
      </c>
      <c r="B63" s="335"/>
      <c r="C63" s="340"/>
      <c r="D63" s="335"/>
      <c r="E63" s="335"/>
      <c r="F63" s="335"/>
      <c r="G63" s="335"/>
      <c r="H63" s="335"/>
      <c r="I63" s="335"/>
      <c r="J63" s="335"/>
      <c r="K63" s="335"/>
      <c r="L63" s="587">
        <f aca="true" t="shared" si="24" ref="L63:L84">B63+C63+D63+E63+F63+G63+I63+J63+K63</f>
        <v>0</v>
      </c>
      <c r="M63" s="335"/>
      <c r="N63" s="335"/>
      <c r="O63" s="336"/>
      <c r="P63" s="335"/>
      <c r="Q63" s="522">
        <v>5000</v>
      </c>
      <c r="R63" s="960"/>
      <c r="S63" s="501">
        <f t="shared" si="23"/>
        <v>5000</v>
      </c>
      <c r="T63" s="469"/>
      <c r="U63" s="469"/>
      <c r="V63" s="294"/>
      <c r="W63" s="201"/>
    </row>
    <row r="64" spans="1:23" s="26" customFormat="1" ht="15">
      <c r="A64" s="499" t="s">
        <v>114</v>
      </c>
      <c r="B64" s="335">
        <f>úpravy!C96+úpravy!C97</f>
        <v>6490</v>
      </c>
      <c r="C64" s="340">
        <f>úpravy!D96+úpravy!D97</f>
        <v>4462</v>
      </c>
      <c r="D64" s="335">
        <f>úpravy!E96+úpravy!E97</f>
        <v>5814</v>
      </c>
      <c r="E64" s="335">
        <f>úpravy!F96+úpravy!F97</f>
        <v>5679</v>
      </c>
      <c r="F64" s="335">
        <f>úpravy!G96+úpravy!G97</f>
        <v>5949</v>
      </c>
      <c r="G64" s="335">
        <f>úpravy!H96+úpravy!H97</f>
        <v>5949</v>
      </c>
      <c r="H64" s="335"/>
      <c r="I64" s="335">
        <f>úpravy!J96+úpravy!J97</f>
        <v>5408</v>
      </c>
      <c r="J64" s="335">
        <f>úpravy!M96+úpravy!M97</f>
        <v>0</v>
      </c>
      <c r="K64" s="335"/>
      <c r="L64" s="587">
        <f t="shared" si="24"/>
        <v>39751</v>
      </c>
      <c r="M64" s="335"/>
      <c r="N64" s="335"/>
      <c r="O64" s="336">
        <f>úpravy!O96+úpravy!O97</f>
        <v>2704</v>
      </c>
      <c r="P64" s="335">
        <f>úpravy!Q168+úpravy!P96+úpravy!P97</f>
        <v>-16455</v>
      </c>
      <c r="Q64" s="565"/>
      <c r="R64" s="960"/>
      <c r="S64" s="501">
        <f t="shared" si="23"/>
        <v>26000</v>
      </c>
      <c r="T64" s="469"/>
      <c r="U64" s="469"/>
      <c r="V64" s="294"/>
      <c r="W64" s="201"/>
    </row>
    <row r="65" spans="1:23" s="26" customFormat="1" ht="30">
      <c r="A65" s="550" t="s">
        <v>116</v>
      </c>
      <c r="B65" s="339"/>
      <c r="C65" s="340"/>
      <c r="D65" s="335"/>
      <c r="E65" s="335"/>
      <c r="F65" s="335"/>
      <c r="G65" s="335"/>
      <c r="H65" s="335"/>
      <c r="I65" s="335"/>
      <c r="J65" s="335"/>
      <c r="K65" s="335"/>
      <c r="L65" s="587">
        <f t="shared" si="24"/>
        <v>0</v>
      </c>
      <c r="M65" s="335"/>
      <c r="N65" s="335"/>
      <c r="O65" s="336"/>
      <c r="P65" s="522">
        <v>113460</v>
      </c>
      <c r="Q65" s="339"/>
      <c r="R65" s="960"/>
      <c r="S65" s="501">
        <f t="shared" si="23"/>
        <v>113460</v>
      </c>
      <c r="T65" s="469"/>
      <c r="U65" s="469"/>
      <c r="V65" s="294"/>
      <c r="W65" s="201"/>
    </row>
    <row r="66" spans="1:23" s="26" customFormat="1" ht="15">
      <c r="A66" s="503" t="s">
        <v>117</v>
      </c>
      <c r="B66" s="335"/>
      <c r="C66" s="340"/>
      <c r="D66" s="335"/>
      <c r="E66" s="335"/>
      <c r="F66" s="335"/>
      <c r="G66" s="335"/>
      <c r="H66" s="335"/>
      <c r="I66" s="335"/>
      <c r="J66" s="335"/>
      <c r="K66" s="335"/>
      <c r="L66" s="587">
        <f t="shared" si="24"/>
        <v>0</v>
      </c>
      <c r="M66" s="335"/>
      <c r="N66" s="335"/>
      <c r="O66" s="336"/>
      <c r="P66" s="522">
        <v>100000</v>
      </c>
      <c r="Q66" s="335"/>
      <c r="R66" s="960"/>
      <c r="S66" s="501">
        <f t="shared" si="23"/>
        <v>100000</v>
      </c>
      <c r="T66" s="469"/>
      <c r="U66" s="469"/>
      <c r="V66" s="294"/>
      <c r="W66" s="201"/>
    </row>
    <row r="67" spans="1:23" s="26" customFormat="1" ht="15">
      <c r="A67" s="507" t="s">
        <v>118</v>
      </c>
      <c r="B67" s="311"/>
      <c r="C67" s="338"/>
      <c r="D67" s="311"/>
      <c r="E67" s="311"/>
      <c r="F67" s="311"/>
      <c r="G67" s="311"/>
      <c r="H67" s="311"/>
      <c r="I67" s="311"/>
      <c r="J67" s="311"/>
      <c r="K67" s="311"/>
      <c r="L67" s="587">
        <f t="shared" si="24"/>
        <v>0</v>
      </c>
      <c r="M67" s="308"/>
      <c r="N67" s="308"/>
      <c r="O67" s="309"/>
      <c r="P67" s="344">
        <v>25000</v>
      </c>
      <c r="Q67" s="963"/>
      <c r="R67" s="663"/>
      <c r="S67" s="501">
        <f t="shared" si="23"/>
        <v>25000</v>
      </c>
      <c r="T67" s="467"/>
      <c r="U67" s="467"/>
      <c r="V67" s="294"/>
      <c r="W67" s="201"/>
    </row>
    <row r="68" spans="1:23" s="26" customFormat="1" ht="15">
      <c r="A68" s="498" t="s">
        <v>94</v>
      </c>
      <c r="B68" s="324"/>
      <c r="C68" s="338"/>
      <c r="D68" s="324"/>
      <c r="E68" s="324"/>
      <c r="F68" s="324"/>
      <c r="G68" s="324"/>
      <c r="H68" s="324"/>
      <c r="I68" s="324"/>
      <c r="J68" s="324"/>
      <c r="K68" s="324"/>
      <c r="L68" s="587">
        <f t="shared" si="24"/>
        <v>0</v>
      </c>
      <c r="M68" s="308"/>
      <c r="N68" s="308"/>
      <c r="O68" s="309"/>
      <c r="P68" s="344">
        <f>úpravy!P166</f>
        <v>7052.01</v>
      </c>
      <c r="Q68" s="963"/>
      <c r="R68" s="663"/>
      <c r="S68" s="501">
        <f t="shared" si="23"/>
        <v>7052.01</v>
      </c>
      <c r="T68" s="467"/>
      <c r="U68" s="467"/>
      <c r="V68" s="294"/>
      <c r="W68" s="201"/>
    </row>
    <row r="69" spans="1:23" s="26" customFormat="1" ht="15">
      <c r="A69" s="504" t="s">
        <v>119</v>
      </c>
      <c r="B69" s="324"/>
      <c r="C69" s="338"/>
      <c r="D69" s="324"/>
      <c r="E69" s="324"/>
      <c r="F69" s="324"/>
      <c r="G69" s="324"/>
      <c r="H69" s="324"/>
      <c r="I69" s="324"/>
      <c r="J69" s="324"/>
      <c r="K69" s="324"/>
      <c r="L69" s="587">
        <f t="shared" si="24"/>
        <v>0</v>
      </c>
      <c r="M69" s="308"/>
      <c r="N69" s="308"/>
      <c r="O69" s="309"/>
      <c r="P69" s="344">
        <v>150020</v>
      </c>
      <c r="Q69" s="963"/>
      <c r="R69" s="663"/>
      <c r="S69" s="501">
        <f t="shared" si="23"/>
        <v>150020</v>
      </c>
      <c r="T69" s="467"/>
      <c r="U69" s="467"/>
      <c r="V69" s="294"/>
      <c r="W69" s="201"/>
    </row>
    <row r="70" spans="1:23" s="26" customFormat="1" ht="20.25" customHeight="1">
      <c r="A70" s="504" t="s">
        <v>120</v>
      </c>
      <c r="B70" s="324"/>
      <c r="C70" s="338"/>
      <c r="D70" s="324"/>
      <c r="E70" s="324"/>
      <c r="F70" s="324"/>
      <c r="G70" s="324"/>
      <c r="H70" s="324"/>
      <c r="I70" s="324"/>
      <c r="J70" s="324"/>
      <c r="K70" s="324"/>
      <c r="L70" s="587">
        <f t="shared" si="24"/>
        <v>0</v>
      </c>
      <c r="M70" s="308"/>
      <c r="N70" s="308"/>
      <c r="O70" s="309"/>
      <c r="P70" s="344">
        <v>23820</v>
      </c>
      <c r="Q70" s="963"/>
      <c r="R70" s="663"/>
      <c r="S70" s="501">
        <f t="shared" si="23"/>
        <v>23820</v>
      </c>
      <c r="T70" s="467"/>
      <c r="U70" s="467"/>
      <c r="V70" s="294"/>
      <c r="W70" s="201"/>
    </row>
    <row r="71" spans="1:23" s="26" customFormat="1" ht="20.25" customHeight="1">
      <c r="A71" s="504" t="s">
        <v>121</v>
      </c>
      <c r="B71" s="324"/>
      <c r="C71" s="495"/>
      <c r="D71" s="324"/>
      <c r="E71" s="324"/>
      <c r="F71" s="324"/>
      <c r="G71" s="324"/>
      <c r="H71" s="324"/>
      <c r="I71" s="324"/>
      <c r="J71" s="324"/>
      <c r="K71" s="324"/>
      <c r="L71" s="587">
        <f t="shared" si="24"/>
        <v>0</v>
      </c>
      <c r="M71" s="308"/>
      <c r="N71" s="308"/>
      <c r="O71" s="309"/>
      <c r="P71" s="344">
        <v>12000</v>
      </c>
      <c r="Q71" s="963"/>
      <c r="R71" s="663"/>
      <c r="S71" s="501">
        <f t="shared" si="23"/>
        <v>12000</v>
      </c>
      <c r="T71" s="467"/>
      <c r="U71" s="467"/>
      <c r="V71" s="294"/>
      <c r="W71" s="201"/>
    </row>
    <row r="72" spans="1:23" s="26" customFormat="1" ht="20.25" customHeight="1">
      <c r="A72" s="504" t="s">
        <v>122</v>
      </c>
      <c r="B72" s="324"/>
      <c r="C72" s="495"/>
      <c r="D72" s="324"/>
      <c r="E72" s="324"/>
      <c r="F72" s="324"/>
      <c r="G72" s="324"/>
      <c r="H72" s="324"/>
      <c r="I72" s="324"/>
      <c r="J72" s="324"/>
      <c r="K72" s="324"/>
      <c r="L72" s="587">
        <f t="shared" si="24"/>
        <v>0</v>
      </c>
      <c r="M72" s="308"/>
      <c r="N72" s="308"/>
      <c r="O72" s="309"/>
      <c r="P72" s="344">
        <v>9000</v>
      </c>
      <c r="Q72" s="963"/>
      <c r="R72" s="663"/>
      <c r="S72" s="501">
        <f t="shared" si="23"/>
        <v>9000</v>
      </c>
      <c r="T72" s="467"/>
      <c r="U72" s="467"/>
      <c r="V72" s="294"/>
      <c r="W72" s="201"/>
    </row>
    <row r="73" spans="1:23" s="26" customFormat="1" ht="20.25" customHeight="1">
      <c r="A73" s="506" t="s">
        <v>123</v>
      </c>
      <c r="B73" s="324"/>
      <c r="C73" s="495"/>
      <c r="D73" s="324"/>
      <c r="E73" s="324"/>
      <c r="F73" s="324"/>
      <c r="G73" s="324"/>
      <c r="H73" s="324"/>
      <c r="I73" s="324"/>
      <c r="J73" s="324"/>
      <c r="K73" s="324"/>
      <c r="L73" s="587">
        <f t="shared" si="24"/>
        <v>0</v>
      </c>
      <c r="M73" s="308"/>
      <c r="N73" s="308"/>
      <c r="O73" s="309"/>
      <c r="P73" s="344">
        <f>85500+úpravy!P164+úpravy!P171</f>
        <v>78549.29999999999</v>
      </c>
      <c r="Q73" s="963"/>
      <c r="R73" s="663"/>
      <c r="S73" s="501">
        <f t="shared" si="23"/>
        <v>78549.29999999999</v>
      </c>
      <c r="T73" s="467"/>
      <c r="U73" s="467"/>
      <c r="V73" s="294"/>
      <c r="W73" s="201"/>
    </row>
    <row r="74" spans="1:23" s="26" customFormat="1" ht="15">
      <c r="A74" s="508" t="s">
        <v>124</v>
      </c>
      <c r="B74" s="324"/>
      <c r="C74" s="336"/>
      <c r="D74" s="324"/>
      <c r="E74" s="324"/>
      <c r="F74" s="324"/>
      <c r="G74" s="324"/>
      <c r="H74" s="324"/>
      <c r="I74" s="324"/>
      <c r="J74" s="324"/>
      <c r="K74" s="324"/>
      <c r="L74" s="587">
        <f>B74+D74+E74+F74+G74+I74+J74+K74</f>
        <v>0</v>
      </c>
      <c r="M74" s="308"/>
      <c r="N74" s="308"/>
      <c r="O74" s="309"/>
      <c r="P74" s="344">
        <f>9500+úpravy!P162</f>
        <v>0</v>
      </c>
      <c r="Q74" s="963"/>
      <c r="R74" s="663"/>
      <c r="S74" s="501">
        <f t="shared" si="23"/>
        <v>0</v>
      </c>
      <c r="T74" s="467"/>
      <c r="U74" s="467"/>
      <c r="V74" s="294"/>
      <c r="W74" s="201"/>
    </row>
    <row r="75" spans="1:23" s="26" customFormat="1" ht="24.75" customHeight="1">
      <c r="A75" s="499" t="s">
        <v>205</v>
      </c>
      <c r="B75" s="335">
        <f>úpravy!C90+úpravy!C91</f>
        <v>136</v>
      </c>
      <c r="C75" s="336">
        <f>úpravy!D90+úpravy!D91</f>
        <v>948</v>
      </c>
      <c r="D75" s="335">
        <f>úpravy!E90+úpravy!E91</f>
        <v>3148</v>
      </c>
      <c r="E75" s="335">
        <f>úpravy!F90+úpravy!F91</f>
        <v>948</v>
      </c>
      <c r="F75" s="335">
        <f>úpravy!G90+úpravy!G91</f>
        <v>34</v>
      </c>
      <c r="G75" s="335">
        <f>úpravy!H90+úpravy!H91</f>
        <v>2976</v>
      </c>
      <c r="H75" s="335">
        <v>0</v>
      </c>
      <c r="I75" s="335">
        <f>úpravy!J90+úpravy!J91</f>
        <v>0</v>
      </c>
      <c r="J75" s="335">
        <f>úpravy!K90+úpravy!K91</f>
        <v>0</v>
      </c>
      <c r="K75" s="335">
        <f>úpravy!L90+úpravy!L91</f>
        <v>0</v>
      </c>
      <c r="L75" s="577">
        <f aca="true" t="shared" si="25" ref="L75:L81">SUM(B75:K75)</f>
        <v>8190</v>
      </c>
      <c r="M75" s="308"/>
      <c r="N75" s="308"/>
      <c r="O75" s="309"/>
      <c r="P75" s="344"/>
      <c r="Q75" s="344">
        <f>55200+úpravy!Q90+úpravy!Q91</f>
        <v>47010</v>
      </c>
      <c r="R75" s="663"/>
      <c r="S75" s="501">
        <f t="shared" si="23"/>
        <v>55200</v>
      </c>
      <c r="T75" s="467">
        <f>S75-Q75</f>
        <v>8190</v>
      </c>
      <c r="U75" s="467"/>
      <c r="V75" s="294"/>
      <c r="W75" s="201"/>
    </row>
    <row r="76" spans="1:23" s="26" customFormat="1" ht="15">
      <c r="A76" s="499" t="s">
        <v>110</v>
      </c>
      <c r="B76" s="335">
        <f>úpravy!C94+úpravy!C95</f>
        <v>2840</v>
      </c>
      <c r="C76" s="336">
        <f>úpravy!D94+úpravy!D95</f>
        <v>1285</v>
      </c>
      <c r="D76" s="335">
        <f>úpravy!E94+úpravy!E95</f>
        <v>4462</v>
      </c>
      <c r="E76" s="335">
        <f>úpravy!F94+úpravy!F95</f>
        <v>3110</v>
      </c>
      <c r="F76" s="335">
        <f>úpravy!G94+úpravy!G95</f>
        <v>676</v>
      </c>
      <c r="G76" s="335">
        <f>úpravy!H94+úpravy!H95</f>
        <v>2028</v>
      </c>
      <c r="H76" s="335"/>
      <c r="I76" s="335">
        <f>úpravy!J94+úpravy!J95</f>
        <v>947</v>
      </c>
      <c r="J76" s="335"/>
      <c r="K76" s="335"/>
      <c r="L76" s="584">
        <f t="shared" si="25"/>
        <v>15348</v>
      </c>
      <c r="M76" s="308"/>
      <c r="N76" s="308"/>
      <c r="O76" s="309">
        <f>úpravy!O94+úpravy!O95</f>
        <v>1757.6</v>
      </c>
      <c r="P76" s="311"/>
      <c r="Q76" s="344">
        <f>93000+úpravy!Q94+úpravy!Q95</f>
        <v>75894.4</v>
      </c>
      <c r="R76" s="663"/>
      <c r="S76" s="501">
        <f t="shared" si="23"/>
        <v>93000</v>
      </c>
      <c r="T76" s="467"/>
      <c r="U76" s="467"/>
      <c r="V76" s="294"/>
      <c r="W76" s="201"/>
    </row>
    <row r="77" spans="1:23" s="26" customFormat="1" ht="15">
      <c r="A77" s="499" t="s">
        <v>125</v>
      </c>
      <c r="B77" s="335">
        <f>úpravy!C104</f>
        <v>4000</v>
      </c>
      <c r="C77" s="336"/>
      <c r="D77" s="335"/>
      <c r="E77" s="335">
        <f>úpravy!F104</f>
        <v>40000</v>
      </c>
      <c r="F77" s="335"/>
      <c r="G77" s="335"/>
      <c r="H77" s="335"/>
      <c r="I77" s="335">
        <f>úpravy!J104</f>
        <v>16000</v>
      </c>
      <c r="J77" s="335">
        <f>úpravy!M104</f>
        <v>4000</v>
      </c>
      <c r="K77" s="335"/>
      <c r="L77" s="577">
        <f t="shared" si="25"/>
        <v>64000</v>
      </c>
      <c r="M77" s="326"/>
      <c r="N77" s="326"/>
      <c r="O77" s="327"/>
      <c r="P77" s="311"/>
      <c r="Q77" s="344"/>
      <c r="R77" s="663"/>
      <c r="S77" s="501">
        <f t="shared" si="23"/>
        <v>64000</v>
      </c>
      <c r="T77" s="467"/>
      <c r="U77" s="467"/>
      <c r="V77" s="294"/>
      <c r="W77" s="201"/>
    </row>
    <row r="78" spans="1:23" s="27" customFormat="1" ht="30">
      <c r="A78" s="499" t="s">
        <v>126</v>
      </c>
      <c r="B78" s="335">
        <f>SUM(úpravy!C106:C107)</f>
        <v>18000</v>
      </c>
      <c r="C78" s="335">
        <f>SUM(úpravy!D106:D107)</f>
        <v>12200</v>
      </c>
      <c r="D78" s="335">
        <f>SUM(úpravy!E106:E107)</f>
        <v>16000</v>
      </c>
      <c r="E78" s="335">
        <f>SUM(úpravy!F106:F107)</f>
        <v>38300</v>
      </c>
      <c r="F78" s="335">
        <f>SUM(úpravy!G106:G107)</f>
        <v>3000</v>
      </c>
      <c r="G78" s="335">
        <f>SUM(úpravy!H106:H107)</f>
        <v>6000</v>
      </c>
      <c r="H78" s="335">
        <v>0</v>
      </c>
      <c r="I78" s="335">
        <f>SUM(úpravy!J106:J107)</f>
        <v>2000</v>
      </c>
      <c r="J78" s="335">
        <f>SUM(úpravy!M106:M107)</f>
        <v>1000</v>
      </c>
      <c r="K78" s="335">
        <f>SUM(úpravy!L106:L107)</f>
        <v>0</v>
      </c>
      <c r="L78" s="584">
        <f t="shared" si="25"/>
        <v>96500</v>
      </c>
      <c r="M78" s="326"/>
      <c r="N78" s="326"/>
      <c r="O78" s="327"/>
      <c r="P78" s="324"/>
      <c r="Q78" s="344">
        <f>98000+úpravy!Q106+úpravy!Q107</f>
        <v>1500</v>
      </c>
      <c r="R78" s="663"/>
      <c r="S78" s="501">
        <f t="shared" si="23"/>
        <v>98000</v>
      </c>
      <c r="T78" s="467"/>
      <c r="U78" s="467"/>
      <c r="V78" s="307"/>
      <c r="W78" s="202"/>
    </row>
    <row r="79" spans="1:23" s="26" customFormat="1" ht="15">
      <c r="A79" s="499" t="s">
        <v>127</v>
      </c>
      <c r="B79" s="335">
        <f>úpravy!C105</f>
        <v>43451</v>
      </c>
      <c r="C79" s="336">
        <f>úpravy!D105</f>
        <v>22091</v>
      </c>
      <c r="D79" s="335">
        <f>úpravy!E105</f>
        <v>58875</v>
      </c>
      <c r="E79" s="335">
        <f>úpravy!F105</f>
        <v>102000</v>
      </c>
      <c r="F79" s="335"/>
      <c r="G79" s="335">
        <f>úpravy!H105</f>
        <v>45583</v>
      </c>
      <c r="H79" s="335"/>
      <c r="I79" s="335"/>
      <c r="J79" s="335"/>
      <c r="K79" s="335"/>
      <c r="L79" s="577">
        <f t="shared" si="25"/>
        <v>272000</v>
      </c>
      <c r="M79" s="326"/>
      <c r="N79" s="326"/>
      <c r="O79" s="327"/>
      <c r="P79" s="324"/>
      <c r="Q79" s="344"/>
      <c r="R79" s="663"/>
      <c r="S79" s="501">
        <f t="shared" si="23"/>
        <v>272000</v>
      </c>
      <c r="T79" s="467"/>
      <c r="U79" s="467"/>
      <c r="V79" s="294"/>
      <c r="W79" s="201"/>
    </row>
    <row r="80" spans="1:23" s="26" customFormat="1" ht="30">
      <c r="A80" s="499" t="s">
        <v>128</v>
      </c>
      <c r="B80" s="339"/>
      <c r="C80" s="340"/>
      <c r="D80" s="339"/>
      <c r="E80" s="339"/>
      <c r="F80" s="339"/>
      <c r="G80" s="339"/>
      <c r="H80" s="339"/>
      <c r="I80" s="339">
        <f>úpravy!J112</f>
        <v>3744</v>
      </c>
      <c r="J80" s="339"/>
      <c r="K80" s="339"/>
      <c r="L80" s="584">
        <f t="shared" si="25"/>
        <v>3744</v>
      </c>
      <c r="M80" s="326"/>
      <c r="N80" s="326"/>
      <c r="O80" s="327"/>
      <c r="P80" s="324"/>
      <c r="Q80" s="344">
        <f>23000+úpravy!Q112</f>
        <v>19256</v>
      </c>
      <c r="R80" s="663"/>
      <c r="S80" s="501">
        <f t="shared" si="23"/>
        <v>23000</v>
      </c>
      <c r="T80" s="467"/>
      <c r="U80" s="467"/>
      <c r="V80" s="294"/>
      <c r="W80" s="201"/>
    </row>
    <row r="81" spans="1:23" s="27" customFormat="1" ht="30">
      <c r="A81" s="499" t="s">
        <v>129</v>
      </c>
      <c r="B81" s="339"/>
      <c r="C81" s="340"/>
      <c r="D81" s="339"/>
      <c r="E81" s="339"/>
      <c r="F81" s="339"/>
      <c r="G81" s="339"/>
      <c r="H81" s="339"/>
      <c r="I81" s="339"/>
      <c r="J81" s="339"/>
      <c r="K81" s="339"/>
      <c r="L81" s="584">
        <f t="shared" si="25"/>
        <v>0</v>
      </c>
      <c r="M81" s="326"/>
      <c r="N81" s="326"/>
      <c r="O81" s="327"/>
      <c r="P81" s="341"/>
      <c r="Q81" s="344">
        <v>4000</v>
      </c>
      <c r="R81" s="663"/>
      <c r="S81" s="501">
        <f t="shared" si="23"/>
        <v>4000</v>
      </c>
      <c r="T81" s="467"/>
      <c r="U81" s="467"/>
      <c r="V81" s="307"/>
      <c r="W81" s="202"/>
    </row>
    <row r="82" spans="1:23" s="26" customFormat="1" ht="15">
      <c r="A82" s="499" t="s">
        <v>130</v>
      </c>
      <c r="B82" s="308"/>
      <c r="C82" s="309"/>
      <c r="D82" s="308"/>
      <c r="E82" s="308"/>
      <c r="F82" s="308"/>
      <c r="G82" s="308"/>
      <c r="H82" s="308"/>
      <c r="I82" s="308"/>
      <c r="J82" s="308"/>
      <c r="K82" s="308"/>
      <c r="L82" s="587">
        <f t="shared" si="24"/>
        <v>0</v>
      </c>
      <c r="M82" s="308"/>
      <c r="N82" s="308"/>
      <c r="O82" s="309"/>
      <c r="P82" s="505"/>
      <c r="Q82" s="308">
        <v>132000</v>
      </c>
      <c r="R82" s="663"/>
      <c r="S82" s="501">
        <f t="shared" si="23"/>
        <v>132000</v>
      </c>
      <c r="T82" s="467"/>
      <c r="U82" s="467"/>
      <c r="V82" s="294"/>
      <c r="W82" s="201"/>
    </row>
    <row r="83" spans="1:23" s="26" customFormat="1" ht="30">
      <c r="A83" s="499" t="s">
        <v>131</v>
      </c>
      <c r="B83" s="308"/>
      <c r="C83" s="309"/>
      <c r="D83" s="308">
        <f>úpravy!E87</f>
        <v>-1906.67</v>
      </c>
      <c r="E83" s="308"/>
      <c r="F83" s="308"/>
      <c r="G83" s="308"/>
      <c r="H83" s="308"/>
      <c r="I83" s="308"/>
      <c r="J83" s="308"/>
      <c r="K83" s="308"/>
      <c r="L83" s="588">
        <f t="shared" si="24"/>
        <v>-1906.67</v>
      </c>
      <c r="M83" s="308"/>
      <c r="N83" s="308"/>
      <c r="O83" s="309"/>
      <c r="P83" s="311"/>
      <c r="Q83" s="964">
        <f>600000+úpravy!P87</f>
        <v>601906.67</v>
      </c>
      <c r="R83" s="663"/>
      <c r="S83" s="632">
        <f>L83+SUM(M83:R83)</f>
        <v>600000</v>
      </c>
      <c r="T83" s="467"/>
      <c r="U83" s="467"/>
      <c r="V83" s="294"/>
      <c r="W83" s="201"/>
    </row>
    <row r="84" spans="1:23" s="26" customFormat="1" ht="15.75" thickBot="1">
      <c r="A84" s="510" t="s">
        <v>132</v>
      </c>
      <c r="B84" s="486"/>
      <c r="C84" s="323"/>
      <c r="D84" s="486"/>
      <c r="E84" s="486"/>
      <c r="F84" s="486"/>
      <c r="G84" s="486"/>
      <c r="H84" s="486"/>
      <c r="I84" s="486"/>
      <c r="J84" s="486"/>
      <c r="K84" s="486"/>
      <c r="L84" s="589">
        <f t="shared" si="24"/>
        <v>0</v>
      </c>
      <c r="M84" s="486"/>
      <c r="N84" s="486"/>
      <c r="O84" s="323"/>
      <c r="P84" s="961"/>
      <c r="Q84" s="711">
        <v>37500</v>
      </c>
      <c r="R84" s="962"/>
      <c r="S84" s="511">
        <f aca="true" t="shared" si="26" ref="S84:S90">L84+M84+N84+O84+P84+Q84+R84</f>
        <v>37500</v>
      </c>
      <c r="T84" s="467"/>
      <c r="U84" s="467"/>
      <c r="V84" s="294"/>
      <c r="W84" s="201"/>
    </row>
    <row r="85" spans="1:23" s="26" customFormat="1" ht="19.5" thickBot="1">
      <c r="A85" s="517" t="s">
        <v>40</v>
      </c>
      <c r="B85" s="518">
        <f>úpravy!C13+úpravy!C15</f>
        <v>511716</v>
      </c>
      <c r="C85" s="518">
        <f>úpravy!D13+úpravy!D15</f>
        <v>79142</v>
      </c>
      <c r="D85" s="518">
        <f>úpravy!E13+úpravy!E15</f>
        <v>415098</v>
      </c>
      <c r="E85" s="518">
        <f>úpravy!F13+úpravy!F15</f>
        <v>594101</v>
      </c>
      <c r="F85" s="518">
        <f>úpravy!G13+úpravy!G15</f>
        <v>13611</v>
      </c>
      <c r="G85" s="518">
        <f>úpravy!H13+úpravy!H15</f>
        <v>210775</v>
      </c>
      <c r="H85" s="518">
        <v>0</v>
      </c>
      <c r="I85" s="518">
        <f>úpravy!J13+úpravy!J15</f>
        <v>18027</v>
      </c>
      <c r="J85" s="518">
        <f>úpravy!M13</f>
        <v>6814</v>
      </c>
      <c r="K85" s="518">
        <f>úpravy!L13+úpravy!L15</f>
        <v>0</v>
      </c>
      <c r="L85" s="520">
        <f>B85+C85+D85+E85+F85+G85+I85+J85+K85</f>
        <v>1849284</v>
      </c>
      <c r="M85" s="518"/>
      <c r="N85" s="518"/>
      <c r="O85" s="519"/>
      <c r="P85" s="520"/>
      <c r="Q85" s="519"/>
      <c r="R85" s="518"/>
      <c r="S85" s="518">
        <f t="shared" si="26"/>
        <v>1849284</v>
      </c>
      <c r="T85" s="467">
        <f>1849284</f>
        <v>1849284</v>
      </c>
      <c r="U85" s="467">
        <f>S85-T85</f>
        <v>0</v>
      </c>
      <c r="V85" s="294"/>
      <c r="W85" s="201"/>
    </row>
    <row r="86" spans="1:23" s="26" customFormat="1" ht="19.5" thickBot="1">
      <c r="A86" s="512" t="s">
        <v>41</v>
      </c>
      <c r="B86" s="509">
        <f>úpravy!C14</f>
        <v>41518</v>
      </c>
      <c r="C86" s="513">
        <f>úpravy!D14</f>
        <v>204323</v>
      </c>
      <c r="D86" s="509">
        <f>úpravy!E14</f>
        <v>107454</v>
      </c>
      <c r="E86" s="509">
        <v>25491</v>
      </c>
      <c r="F86" s="509">
        <f>úpravy!G14</f>
        <v>30145</v>
      </c>
      <c r="G86" s="509">
        <f>úpravy!H14</f>
        <v>99680</v>
      </c>
      <c r="H86" s="509"/>
      <c r="I86" s="509">
        <f>úpravy!J14</f>
        <v>4695</v>
      </c>
      <c r="J86" s="509"/>
      <c r="K86" s="509"/>
      <c r="L86" s="590">
        <f>B86+C86+D86+E86+F86+G86+I86+J86+K86</f>
        <v>513306</v>
      </c>
      <c r="M86" s="514"/>
      <c r="N86" s="514"/>
      <c r="O86" s="515"/>
      <c r="P86" s="516"/>
      <c r="Q86" s="515"/>
      <c r="R86" s="514"/>
      <c r="S86" s="509">
        <f t="shared" si="26"/>
        <v>513306</v>
      </c>
      <c r="T86" s="467">
        <v>513306</v>
      </c>
      <c r="U86" s="467">
        <f>S86-T86</f>
        <v>0</v>
      </c>
      <c r="V86" s="294"/>
      <c r="W86" s="201"/>
    </row>
    <row r="87" spans="1:23" s="30" customFormat="1" ht="21" customHeight="1" thickBot="1">
      <c r="A87" s="239" t="s">
        <v>15</v>
      </c>
      <c r="B87" s="348"/>
      <c r="C87" s="349"/>
      <c r="D87" s="348">
        <f>D89</f>
        <v>1529000</v>
      </c>
      <c r="E87" s="348">
        <f>E89</f>
        <v>0</v>
      </c>
      <c r="F87" s="348">
        <f>F89</f>
        <v>0</v>
      </c>
      <c r="G87" s="348">
        <f>G88</f>
        <v>198977</v>
      </c>
      <c r="H87" s="348"/>
      <c r="I87" s="348"/>
      <c r="J87" s="348"/>
      <c r="K87" s="348"/>
      <c r="L87" s="585">
        <f>SUM(B87:J87)</f>
        <v>1727977</v>
      </c>
      <c r="M87" s="348"/>
      <c r="N87" s="348"/>
      <c r="O87" s="349"/>
      <c r="P87" s="348"/>
      <c r="Q87" s="349">
        <f>Q90</f>
        <v>200000</v>
      </c>
      <c r="R87" s="348">
        <f>R88</f>
        <v>0</v>
      </c>
      <c r="S87" s="358">
        <f t="shared" si="26"/>
        <v>1927977</v>
      </c>
      <c r="T87" s="457">
        <v>1927977</v>
      </c>
      <c r="U87" s="467">
        <f>S87-T87</f>
        <v>0</v>
      </c>
      <c r="V87" s="359"/>
      <c r="W87" s="97"/>
    </row>
    <row r="88" spans="1:23" s="31" customFormat="1" ht="15.75" thickBot="1">
      <c r="A88" s="998" t="s">
        <v>261</v>
      </c>
      <c r="B88" s="335"/>
      <c r="C88" s="336"/>
      <c r="D88" s="335"/>
      <c r="E88" s="335"/>
      <c r="F88" s="335"/>
      <c r="G88" s="335">
        <f>úpravy!H62</f>
        <v>198977</v>
      </c>
      <c r="H88" s="360"/>
      <c r="I88" s="335"/>
      <c r="J88" s="360"/>
      <c r="K88" s="360"/>
      <c r="L88" s="585">
        <f>SUM(B88:J88)</f>
        <v>198977</v>
      </c>
      <c r="M88" s="335"/>
      <c r="N88" s="335"/>
      <c r="O88" s="336"/>
      <c r="P88" s="335"/>
      <c r="Q88" s="336"/>
      <c r="R88" s="335">
        <f>úpravy!R60</f>
        <v>0</v>
      </c>
      <c r="S88" s="357">
        <f t="shared" si="26"/>
        <v>198977</v>
      </c>
      <c r="T88" s="467"/>
      <c r="U88" s="467"/>
      <c r="V88" s="369"/>
      <c r="W88" s="166"/>
    </row>
    <row r="89" spans="1:23" s="31" customFormat="1" ht="15.75" thickBot="1">
      <c r="A89" s="998" t="s">
        <v>260</v>
      </c>
      <c r="B89" s="360"/>
      <c r="C89" s="1010"/>
      <c r="D89" s="360">
        <f>úpravy!E61</f>
        <v>1529000</v>
      </c>
      <c r="E89" s="360"/>
      <c r="F89" s="360"/>
      <c r="G89" s="360"/>
      <c r="H89" s="360"/>
      <c r="I89" s="360"/>
      <c r="J89" s="360"/>
      <c r="K89" s="360"/>
      <c r="L89" s="585">
        <f>SUM(B89:J89)</f>
        <v>1529000</v>
      </c>
      <c r="M89" s="360"/>
      <c r="N89" s="360"/>
      <c r="O89" s="1010"/>
      <c r="P89" s="360"/>
      <c r="Q89" s="1010"/>
      <c r="R89" s="360"/>
      <c r="S89" s="357">
        <f t="shared" si="26"/>
        <v>1529000</v>
      </c>
      <c r="T89" s="467"/>
      <c r="U89" s="467"/>
      <c r="V89" s="369"/>
      <c r="W89" s="166"/>
    </row>
    <row r="90" spans="1:26" s="31" customFormat="1" ht="15.75" thickBot="1">
      <c r="A90" s="998" t="s">
        <v>259</v>
      </c>
      <c r="B90" s="360"/>
      <c r="C90" s="1010"/>
      <c r="D90" s="360"/>
      <c r="E90" s="360"/>
      <c r="F90" s="360"/>
      <c r="G90" s="360"/>
      <c r="H90" s="360"/>
      <c r="I90" s="360"/>
      <c r="J90" s="360"/>
      <c r="K90" s="360"/>
      <c r="L90" s="585">
        <f>SUM(B90:J90)</f>
        <v>0</v>
      </c>
      <c r="M90" s="360"/>
      <c r="N90" s="360"/>
      <c r="O90" s="1010"/>
      <c r="P90" s="360"/>
      <c r="Q90" s="1010">
        <f>úpravy!Q63</f>
        <v>200000</v>
      </c>
      <c r="R90" s="360"/>
      <c r="S90" s="357">
        <f t="shared" si="26"/>
        <v>200000</v>
      </c>
      <c r="T90" s="467"/>
      <c r="U90" s="467"/>
      <c r="V90" s="369"/>
      <c r="W90" s="166"/>
      <c r="Z90" s="166"/>
    </row>
    <row r="91" spans="1:23" ht="23.25" customHeight="1" thickBot="1">
      <c r="A91" s="239" t="s">
        <v>43</v>
      </c>
      <c r="B91" s="358">
        <f>SUM(B92:B96)</f>
        <v>476290</v>
      </c>
      <c r="C91" s="358">
        <f aca="true" t="shared" si="27" ref="C91:K91">SUM(C92:C96)</f>
        <v>187518</v>
      </c>
      <c r="D91" s="358">
        <f t="shared" si="27"/>
        <v>543501</v>
      </c>
      <c r="E91" s="358">
        <f t="shared" si="27"/>
        <v>277902</v>
      </c>
      <c r="F91" s="358">
        <f t="shared" si="27"/>
        <v>73444</v>
      </c>
      <c r="G91" s="358">
        <f t="shared" si="27"/>
        <v>1673676</v>
      </c>
      <c r="H91" s="358">
        <f>SUM(H92:H96)</f>
        <v>0</v>
      </c>
      <c r="I91" s="358">
        <f t="shared" si="27"/>
        <v>262672</v>
      </c>
      <c r="J91" s="358">
        <f t="shared" si="27"/>
        <v>7272</v>
      </c>
      <c r="K91" s="358">
        <f t="shared" si="27"/>
        <v>0</v>
      </c>
      <c r="L91" s="585">
        <f>SUM(B91:K91)</f>
        <v>3502275</v>
      </c>
      <c r="M91" s="358">
        <f>M96</f>
        <v>4598904</v>
      </c>
      <c r="N91" s="358">
        <f>N92+N94+N95+N96+N104</f>
        <v>54845</v>
      </c>
      <c r="O91" s="361">
        <f>O92+O94+O95+O96+O104</f>
        <v>0</v>
      </c>
      <c r="P91" s="358">
        <f>P92+P94+P95+P96+P104</f>
        <v>30715</v>
      </c>
      <c r="Q91" s="361">
        <f>Q92+Q94+Q95+Q96+Q104</f>
        <v>20000</v>
      </c>
      <c r="R91" s="358">
        <f>R92+R94+R95+R96+R104</f>
        <v>1126073</v>
      </c>
      <c r="S91" s="358">
        <f aca="true" t="shared" si="28" ref="S91:S99">L91+SUM(M91:R91)</f>
        <v>9332812</v>
      </c>
      <c r="T91" s="457"/>
      <c r="U91" s="457"/>
      <c r="V91" s="451"/>
      <c r="W91" s="34"/>
    </row>
    <row r="92" spans="1:23" s="31" customFormat="1" ht="16.5" thickBot="1">
      <c r="A92" s="362" t="s">
        <v>16</v>
      </c>
      <c r="B92" s="355">
        <f>79472+úpravy!C73</f>
        <v>93757</v>
      </c>
      <c r="C92" s="356">
        <f>8743+úpravy!D73</f>
        <v>10866</v>
      </c>
      <c r="D92" s="355">
        <f>56526+úpravy!E73</f>
        <v>65320</v>
      </c>
      <c r="E92" s="355">
        <f>0+úpravy!F73</f>
        <v>10549</v>
      </c>
      <c r="F92" s="355">
        <f>25361+úpravy!G73</f>
        <v>32051</v>
      </c>
      <c r="G92" s="355">
        <f>8186+úpravy!H73</f>
        <v>14338</v>
      </c>
      <c r="H92" s="721">
        <v>0</v>
      </c>
      <c r="I92" s="355">
        <v>34381</v>
      </c>
      <c r="J92" s="355">
        <v>0</v>
      </c>
      <c r="K92" s="721">
        <v>0</v>
      </c>
      <c r="L92" s="725">
        <f>SUM(B92:J92)</f>
        <v>261262</v>
      </c>
      <c r="M92" s="723"/>
      <c r="N92" s="363"/>
      <c r="O92" s="364"/>
      <c r="P92" s="365"/>
      <c r="Q92" s="617"/>
      <c r="R92" s="363">
        <f>úpravy!R73</f>
        <v>0</v>
      </c>
      <c r="S92" s="728">
        <f t="shared" si="28"/>
        <v>261262</v>
      </c>
      <c r="T92" s="467">
        <f>S92+S93</f>
        <v>285469</v>
      </c>
      <c r="U92" s="457">
        <f>T92-S92-S93</f>
        <v>0</v>
      </c>
      <c r="V92" s="366">
        <f>S92+S93</f>
        <v>285469</v>
      </c>
      <c r="W92" s="166"/>
    </row>
    <row r="93" spans="1:23" s="31" customFormat="1" ht="15.75">
      <c r="A93" s="362" t="s">
        <v>179</v>
      </c>
      <c r="B93" s="335">
        <f>úpravy!C42+úpravy!C67</f>
        <v>3600</v>
      </c>
      <c r="C93" s="335">
        <f>úpravy!D42</f>
        <v>600</v>
      </c>
      <c r="D93" s="335">
        <f>úpravy!E42+úpravy!E67</f>
        <v>1000</v>
      </c>
      <c r="E93" s="335">
        <f>úpravy!F42+úpravy!F67</f>
        <v>8000</v>
      </c>
      <c r="F93" s="335">
        <f>úpravy!G42+úpravy!G67</f>
        <v>2800</v>
      </c>
      <c r="G93" s="335">
        <f>úpravy!H42+úpravy!H67</f>
        <v>1800</v>
      </c>
      <c r="H93" s="722">
        <v>0</v>
      </c>
      <c r="I93" s="335">
        <f>úpravy!J42+úpravy!J73</f>
        <v>6294</v>
      </c>
      <c r="J93" s="335">
        <f>úpravy!M73</f>
        <v>113</v>
      </c>
      <c r="K93" s="722">
        <f>úpravy!L42</f>
        <v>0</v>
      </c>
      <c r="L93" s="724">
        <f>SUM(B93:J93)</f>
        <v>24207</v>
      </c>
      <c r="M93" s="663"/>
      <c r="N93" s="308"/>
      <c r="O93" s="309"/>
      <c r="P93" s="344"/>
      <c r="Q93" s="615"/>
      <c r="R93" s="727"/>
      <c r="S93" s="729">
        <f t="shared" si="28"/>
        <v>24207</v>
      </c>
      <c r="T93" s="467"/>
      <c r="U93" s="457"/>
      <c r="V93" s="366"/>
      <c r="W93" s="166"/>
    </row>
    <row r="94" spans="1:26" s="32" customFormat="1" ht="31.5">
      <c r="A94" s="367" t="s">
        <v>58</v>
      </c>
      <c r="B94" s="339">
        <f>280756-úpravy!C11</f>
        <v>280756</v>
      </c>
      <c r="C94" s="340">
        <f>114909-úpravy!D12</f>
        <v>114909</v>
      </c>
      <c r="D94" s="339">
        <v>359385</v>
      </c>
      <c r="E94" s="339">
        <v>197388</v>
      </c>
      <c r="F94" s="339">
        <v>0</v>
      </c>
      <c r="G94" s="339">
        <f>244625+úpravy!H11</f>
        <v>243642</v>
      </c>
      <c r="H94" s="721">
        <v>0</v>
      </c>
      <c r="I94" s="339">
        <v>168957</v>
      </c>
      <c r="J94" s="339">
        <v>0</v>
      </c>
      <c r="K94" s="721">
        <v>0</v>
      </c>
      <c r="L94" s="724">
        <f>SUM(B94:J94)</f>
        <v>1365037</v>
      </c>
      <c r="M94" s="668"/>
      <c r="N94" s="326"/>
      <c r="O94" s="327"/>
      <c r="P94" s="368"/>
      <c r="Q94" s="618"/>
      <c r="R94" s="730"/>
      <c r="S94" s="729">
        <f t="shared" si="28"/>
        <v>1365037</v>
      </c>
      <c r="T94" s="467">
        <f>S94+S95</f>
        <v>1862099</v>
      </c>
      <c r="U94" s="457">
        <f>T94-S94-S95</f>
        <v>0</v>
      </c>
      <c r="V94" s="369"/>
      <c r="W94" s="204"/>
      <c r="Z94" s="1078"/>
    </row>
    <row r="95" spans="1:26" s="32" customFormat="1" ht="16.5" thickBot="1">
      <c r="A95" s="367" t="s">
        <v>50</v>
      </c>
      <c r="B95" s="342">
        <f>98177-úpravy!C12</f>
        <v>98177</v>
      </c>
      <c r="C95" s="343">
        <v>36072</v>
      </c>
      <c r="D95" s="342">
        <v>113098</v>
      </c>
      <c r="E95" s="342">
        <v>61965</v>
      </c>
      <c r="F95" s="342">
        <f>43835+úpravy!G12</f>
        <v>38593</v>
      </c>
      <c r="G95" s="342">
        <f>83022+úpravy!H12</f>
        <v>74776</v>
      </c>
      <c r="H95" s="721">
        <v>0</v>
      </c>
      <c r="I95" s="342">
        <v>53040</v>
      </c>
      <c r="J95" s="342">
        <v>7159</v>
      </c>
      <c r="K95" s="721">
        <v>0</v>
      </c>
      <c r="L95" s="726">
        <f>SUM(B95:J95)</f>
        <v>482880</v>
      </c>
      <c r="M95" s="663"/>
      <c r="N95" s="308"/>
      <c r="O95" s="610"/>
      <c r="P95" s="308">
        <v>14182</v>
      </c>
      <c r="Q95" s="619"/>
      <c r="R95" s="627"/>
      <c r="S95" s="487">
        <f t="shared" si="28"/>
        <v>497062</v>
      </c>
      <c r="T95" s="467"/>
      <c r="U95" s="457"/>
      <c r="V95" s="369"/>
      <c r="W95" s="204"/>
      <c r="Z95" s="1078"/>
    </row>
    <row r="96" spans="1:23" s="109" customFormat="1" ht="19.5" customHeight="1" thickBot="1">
      <c r="A96" s="222" t="s">
        <v>64</v>
      </c>
      <c r="B96" s="371">
        <v>0</v>
      </c>
      <c r="C96" s="370">
        <f>C97+C106</f>
        <v>25071</v>
      </c>
      <c r="D96" s="371">
        <f>D97+D106</f>
        <v>4698</v>
      </c>
      <c r="E96" s="371">
        <f>E97+E105</f>
        <v>0</v>
      </c>
      <c r="F96" s="371">
        <f>F97+F105</f>
        <v>0</v>
      </c>
      <c r="G96" s="371">
        <f>G97+G106</f>
        <v>1339120</v>
      </c>
      <c r="H96" s="371">
        <f>H97+H105</f>
        <v>0</v>
      </c>
      <c r="I96" s="371">
        <f>I97+I105</f>
        <v>0</v>
      </c>
      <c r="J96" s="371">
        <f>J97+J105</f>
        <v>0</v>
      </c>
      <c r="K96" s="371">
        <f>K97+K105</f>
        <v>0</v>
      </c>
      <c r="L96" s="592">
        <f>SUM(B96:K96)</f>
        <v>1368889</v>
      </c>
      <c r="M96" s="371">
        <f>M97+M105</f>
        <v>4598904</v>
      </c>
      <c r="N96" s="371">
        <f>N97+N105+N107</f>
        <v>54845</v>
      </c>
      <c r="O96" s="370">
        <f>O97+O105</f>
        <v>0</v>
      </c>
      <c r="P96" s="371">
        <f>P97+P106</f>
        <v>16533</v>
      </c>
      <c r="Q96" s="370">
        <f>Q97+Q105</f>
        <v>20000</v>
      </c>
      <c r="R96" s="371">
        <f>R97+R105</f>
        <v>1126073</v>
      </c>
      <c r="S96" s="732">
        <f t="shared" si="28"/>
        <v>7185244</v>
      </c>
      <c r="T96" s="470">
        <v>7180322</v>
      </c>
      <c r="U96" s="1000">
        <f>S96-T96</f>
        <v>4922</v>
      </c>
      <c r="V96" s="372"/>
      <c r="W96" s="152"/>
    </row>
    <row r="97" spans="1:23" s="26" customFormat="1" ht="18.75" customHeight="1" thickBot="1">
      <c r="A97" s="228" t="s">
        <v>65</v>
      </c>
      <c r="B97" s="373"/>
      <c r="C97" s="374"/>
      <c r="D97" s="373"/>
      <c r="E97" s="373"/>
      <c r="F97" s="373"/>
      <c r="G97" s="373">
        <f>SUM(G98:G104)+G107+G108+G109+G110</f>
        <v>1326196</v>
      </c>
      <c r="H97" s="373">
        <v>0</v>
      </c>
      <c r="I97" s="373"/>
      <c r="J97" s="373"/>
      <c r="K97" s="373">
        <v>0</v>
      </c>
      <c r="L97" s="593">
        <f>L98+L99+L100+L101+L102+L103+L104</f>
        <v>718628</v>
      </c>
      <c r="M97" s="373">
        <f>SUM(M98:M110)</f>
        <v>4598904</v>
      </c>
      <c r="N97" s="373">
        <f>SUM(N98:N104)</f>
        <v>0</v>
      </c>
      <c r="O97" s="374">
        <f>SUM(O98:O104)</f>
        <v>0</v>
      </c>
      <c r="P97" s="373">
        <f>SUM(P98:P104)</f>
        <v>0</v>
      </c>
      <c r="Q97" s="374">
        <f>SUM(Q98:Q104)</f>
        <v>0</v>
      </c>
      <c r="R97" s="373">
        <f>SUM(R98:R110)</f>
        <v>1126073</v>
      </c>
      <c r="S97" s="731">
        <f t="shared" si="28"/>
        <v>6443605</v>
      </c>
      <c r="T97" s="471"/>
      <c r="U97" s="471"/>
      <c r="V97" s="294"/>
      <c r="W97" s="201"/>
    </row>
    <row r="98" spans="1:23" s="26" customFormat="1" ht="18.75" customHeight="1">
      <c r="A98" s="223" t="s">
        <v>66</v>
      </c>
      <c r="B98" s="375"/>
      <c r="C98" s="376"/>
      <c r="D98" s="375"/>
      <c r="E98" s="375"/>
      <c r="F98" s="375"/>
      <c r="G98" s="567">
        <v>380349</v>
      </c>
      <c r="H98" s="377"/>
      <c r="I98" s="375"/>
      <c r="J98" s="375"/>
      <c r="K98" s="377"/>
      <c r="L98" s="594">
        <f aca="true" t="shared" si="29" ref="L98:L104">G98</f>
        <v>380349</v>
      </c>
      <c r="M98" s="375">
        <v>1575685</v>
      </c>
      <c r="N98" s="379"/>
      <c r="O98" s="378"/>
      <c r="P98" s="379"/>
      <c r="Q98" s="620"/>
      <c r="R98" s="379"/>
      <c r="S98" s="380">
        <f t="shared" si="28"/>
        <v>1956034</v>
      </c>
      <c r="T98" s="472"/>
      <c r="U98" s="472"/>
      <c r="V98" s="294"/>
      <c r="W98" s="201"/>
    </row>
    <row r="99" spans="1:23" s="26" customFormat="1" ht="19.5" customHeight="1">
      <c r="A99" s="224" t="s">
        <v>67</v>
      </c>
      <c r="B99" s="381"/>
      <c r="C99" s="382"/>
      <c r="D99" s="381"/>
      <c r="E99" s="381"/>
      <c r="F99" s="381"/>
      <c r="G99" s="381">
        <v>133883</v>
      </c>
      <c r="H99" s="383"/>
      <c r="I99" s="381"/>
      <c r="J99" s="381"/>
      <c r="K99" s="383"/>
      <c r="L99" s="595">
        <f t="shared" si="29"/>
        <v>133883</v>
      </c>
      <c r="M99" s="384">
        <v>554641</v>
      </c>
      <c r="N99" s="386"/>
      <c r="O99" s="385"/>
      <c r="P99" s="386"/>
      <c r="Q99" s="621"/>
      <c r="R99" s="386"/>
      <c r="S99" s="387">
        <f t="shared" si="28"/>
        <v>688524</v>
      </c>
      <c r="T99" s="473"/>
      <c r="U99" s="473"/>
      <c r="V99" s="294"/>
      <c r="W99" s="201"/>
    </row>
    <row r="100" spans="1:23" s="26" customFormat="1" ht="19.5" customHeight="1" hidden="1">
      <c r="A100" s="225" t="s">
        <v>68</v>
      </c>
      <c r="B100" s="388"/>
      <c r="C100" s="389"/>
      <c r="D100" s="388"/>
      <c r="E100" s="388"/>
      <c r="F100" s="388"/>
      <c r="G100" s="388"/>
      <c r="H100" s="390"/>
      <c r="I100" s="388"/>
      <c r="J100" s="388"/>
      <c r="K100" s="390"/>
      <c r="L100" s="596">
        <f t="shared" si="29"/>
        <v>0</v>
      </c>
      <c r="M100" s="388"/>
      <c r="N100" s="392"/>
      <c r="O100" s="391"/>
      <c r="P100" s="392"/>
      <c r="Q100" s="622"/>
      <c r="R100" s="392"/>
      <c r="S100" s="393">
        <f>SUM(L100:R100)</f>
        <v>0</v>
      </c>
      <c r="T100" s="474"/>
      <c r="U100" s="474"/>
      <c r="V100" s="294"/>
      <c r="W100" s="201"/>
    </row>
    <row r="101" spans="1:23" s="26" customFormat="1" ht="18.75" customHeight="1" hidden="1">
      <c r="A101" s="225" t="s">
        <v>69</v>
      </c>
      <c r="B101" s="388"/>
      <c r="C101" s="389"/>
      <c r="D101" s="388"/>
      <c r="E101" s="388"/>
      <c r="F101" s="388"/>
      <c r="G101" s="388"/>
      <c r="H101" s="390"/>
      <c r="I101" s="388"/>
      <c r="J101" s="388"/>
      <c r="K101" s="390"/>
      <c r="L101" s="596">
        <f t="shared" si="29"/>
        <v>0</v>
      </c>
      <c r="M101" s="388"/>
      <c r="N101" s="392"/>
      <c r="O101" s="391"/>
      <c r="P101" s="392"/>
      <c r="Q101" s="622"/>
      <c r="R101" s="392"/>
      <c r="S101" s="393">
        <f>SUM(L101:R101)</f>
        <v>0</v>
      </c>
      <c r="T101" s="474"/>
      <c r="U101" s="474"/>
      <c r="V101" s="294"/>
      <c r="W101" s="201"/>
    </row>
    <row r="102" spans="1:23" s="26" customFormat="1" ht="18.75" customHeight="1">
      <c r="A102" s="226" t="s">
        <v>70</v>
      </c>
      <c r="B102" s="394"/>
      <c r="C102" s="395"/>
      <c r="D102" s="394"/>
      <c r="E102" s="394"/>
      <c r="F102" s="394"/>
      <c r="G102" s="394"/>
      <c r="H102" s="394"/>
      <c r="I102" s="394"/>
      <c r="J102" s="394"/>
      <c r="K102" s="394"/>
      <c r="L102" s="597">
        <f t="shared" si="29"/>
        <v>0</v>
      </c>
      <c r="M102" s="396"/>
      <c r="N102" s="398"/>
      <c r="O102" s="397"/>
      <c r="P102" s="398"/>
      <c r="Q102" s="623"/>
      <c r="R102" s="398"/>
      <c r="S102" s="401">
        <f aca="true" t="shared" si="30" ref="S102:S110">L102+SUM(M102:R102)</f>
        <v>0</v>
      </c>
      <c r="T102" s="475"/>
      <c r="U102" s="475"/>
      <c r="V102" s="294"/>
      <c r="W102" s="201"/>
    </row>
    <row r="103" spans="1:23" s="96" customFormat="1" ht="19.5" customHeight="1">
      <c r="A103" s="227" t="s">
        <v>71</v>
      </c>
      <c r="B103" s="394"/>
      <c r="C103" s="395"/>
      <c r="D103" s="394"/>
      <c r="E103" s="394"/>
      <c r="F103" s="394"/>
      <c r="G103" s="394">
        <v>188558</v>
      </c>
      <c r="H103" s="394"/>
      <c r="I103" s="394"/>
      <c r="J103" s="394"/>
      <c r="K103" s="394"/>
      <c r="L103" s="597">
        <f t="shared" si="29"/>
        <v>188558</v>
      </c>
      <c r="M103" s="396">
        <v>780418</v>
      </c>
      <c r="N103" s="399"/>
      <c r="O103" s="400"/>
      <c r="P103" s="399"/>
      <c r="Q103" s="624"/>
      <c r="R103" s="399"/>
      <c r="S103" s="401">
        <f t="shared" si="30"/>
        <v>968976</v>
      </c>
      <c r="T103" s="476"/>
      <c r="U103" s="476"/>
      <c r="V103" s="305"/>
      <c r="W103" s="149"/>
    </row>
    <row r="104" spans="1:23" s="26" customFormat="1" ht="19.5" customHeight="1">
      <c r="A104" s="244" t="s">
        <v>134</v>
      </c>
      <c r="B104" s="339"/>
      <c r="C104" s="340"/>
      <c r="D104" s="339"/>
      <c r="E104" s="339"/>
      <c r="F104" s="339"/>
      <c r="G104" s="402">
        <v>15838</v>
      </c>
      <c r="H104" s="339"/>
      <c r="I104" s="339"/>
      <c r="J104" s="339"/>
      <c r="K104" s="339"/>
      <c r="L104" s="583">
        <f t="shared" si="29"/>
        <v>15838</v>
      </c>
      <c r="M104" s="402">
        <v>65833</v>
      </c>
      <c r="N104" s="326"/>
      <c r="O104" s="327"/>
      <c r="P104" s="326"/>
      <c r="Q104" s="625"/>
      <c r="R104" s="326"/>
      <c r="S104" s="403">
        <f t="shared" si="30"/>
        <v>81671</v>
      </c>
      <c r="T104" s="477"/>
      <c r="U104" s="477"/>
      <c r="V104" s="294"/>
      <c r="W104" s="201"/>
    </row>
    <row r="105" spans="1:23" s="26" customFormat="1" ht="19.5" customHeight="1">
      <c r="A105" s="551" t="s">
        <v>136</v>
      </c>
      <c r="B105" s="339"/>
      <c r="C105" s="561"/>
      <c r="D105" s="565"/>
      <c r="E105" s="339"/>
      <c r="F105" s="339"/>
      <c r="G105" s="565"/>
      <c r="H105" s="339"/>
      <c r="I105" s="339"/>
      <c r="J105" s="339"/>
      <c r="K105" s="339"/>
      <c r="L105" s="583">
        <f aca="true" t="shared" si="31" ref="L105:L110">SUM(B105:K105)</f>
        <v>0</v>
      </c>
      <c r="M105" s="339"/>
      <c r="N105" s="339">
        <v>44887</v>
      </c>
      <c r="O105" s="327"/>
      <c r="P105" s="613"/>
      <c r="Q105" s="625">
        <v>20000</v>
      </c>
      <c r="R105" s="339">
        <f>59226-59226</f>
        <v>0</v>
      </c>
      <c r="S105" s="403">
        <f t="shared" si="30"/>
        <v>64887</v>
      </c>
      <c r="T105" s="477"/>
      <c r="U105" s="477"/>
      <c r="V105" s="294"/>
      <c r="W105" s="201"/>
    </row>
    <row r="106" spans="1:23" s="26" customFormat="1" ht="19.5" customHeight="1">
      <c r="A106" s="245" t="s">
        <v>135</v>
      </c>
      <c r="B106" s="1005"/>
      <c r="C106" s="1005">
        <f>úpravy!D102</f>
        <v>25071</v>
      </c>
      <c r="D106" s="1005">
        <f>úpravy!E102</f>
        <v>4698</v>
      </c>
      <c r="E106" s="1005"/>
      <c r="F106" s="1005"/>
      <c r="G106" s="1006">
        <f>úpravy!H102</f>
        <v>12924</v>
      </c>
      <c r="H106" s="1005"/>
      <c r="I106" s="1005"/>
      <c r="J106" s="1005"/>
      <c r="K106" s="1005"/>
      <c r="L106" s="1007">
        <f t="shared" si="31"/>
        <v>42693</v>
      </c>
      <c r="M106" s="1005"/>
      <c r="N106" s="1005"/>
      <c r="O106" s="1008"/>
      <c r="P106" s="1008">
        <f>úpravy!P102</f>
        <v>16533</v>
      </c>
      <c r="Q106" s="1009"/>
      <c r="R106" s="1005"/>
      <c r="S106" s="1001">
        <f t="shared" si="30"/>
        <v>59226</v>
      </c>
      <c r="T106" s="477"/>
      <c r="U106" s="477"/>
      <c r="V106" s="294"/>
      <c r="W106" s="201"/>
    </row>
    <row r="107" spans="1:23" s="26" customFormat="1" ht="19.5" customHeight="1">
      <c r="A107" s="763" t="s">
        <v>258</v>
      </c>
      <c r="B107" s="1005"/>
      <c r="C107" s="1005"/>
      <c r="D107" s="1005"/>
      <c r="E107" s="1005"/>
      <c r="F107" s="1005"/>
      <c r="G107" s="1006">
        <f>úpravy!H45</f>
        <v>578769</v>
      </c>
      <c r="H107" s="1005"/>
      <c r="I107" s="1005"/>
      <c r="J107" s="1005"/>
      <c r="K107" s="1005"/>
      <c r="L107" s="1007">
        <f t="shared" si="31"/>
        <v>578769</v>
      </c>
      <c r="M107" s="1005">
        <f>úpravy!K45</f>
        <v>1519436</v>
      </c>
      <c r="N107" s="1005">
        <f>úpravy!L45</f>
        <v>9958</v>
      </c>
      <c r="O107" s="1008"/>
      <c r="P107" s="1008"/>
      <c r="Q107" s="1009"/>
      <c r="R107" s="1005">
        <f>úpravy!R72</f>
        <v>1116981</v>
      </c>
      <c r="S107" s="1001">
        <f t="shared" si="30"/>
        <v>3225144</v>
      </c>
      <c r="T107" s="477"/>
      <c r="U107" s="477"/>
      <c r="V107" s="294"/>
      <c r="W107" s="201"/>
    </row>
    <row r="108" spans="1:23" s="26" customFormat="1" ht="19.5" customHeight="1">
      <c r="A108" s="763" t="s">
        <v>256</v>
      </c>
      <c r="B108" s="1005"/>
      <c r="C108" s="1005"/>
      <c r="D108" s="1005"/>
      <c r="E108" s="1005"/>
      <c r="F108" s="1005"/>
      <c r="G108" s="1006">
        <f>úpravy!H48</f>
        <v>5541</v>
      </c>
      <c r="H108" s="1005"/>
      <c r="I108" s="1005"/>
      <c r="J108" s="1005"/>
      <c r="K108" s="1005"/>
      <c r="L108" s="1007">
        <f t="shared" si="31"/>
        <v>5541</v>
      </c>
      <c r="M108" s="1005">
        <f>úpravy!K48</f>
        <v>21508</v>
      </c>
      <c r="N108" s="1005"/>
      <c r="O108" s="1008"/>
      <c r="P108" s="1008"/>
      <c r="Q108" s="1009"/>
      <c r="R108" s="1005">
        <f>úpravy!R48+úpravy!R158</f>
        <v>0</v>
      </c>
      <c r="S108" s="1001">
        <f t="shared" si="30"/>
        <v>27049</v>
      </c>
      <c r="T108" s="477"/>
      <c r="U108" s="477"/>
      <c r="V108" s="294"/>
      <c r="W108" s="201"/>
    </row>
    <row r="109" spans="1:23" s="26" customFormat="1" ht="19.5" customHeight="1">
      <c r="A109" s="763" t="s">
        <v>255</v>
      </c>
      <c r="B109" s="1005">
        <v>0</v>
      </c>
      <c r="C109" s="1005">
        <v>0</v>
      </c>
      <c r="D109" s="1005">
        <v>0</v>
      </c>
      <c r="E109" s="1005">
        <v>0</v>
      </c>
      <c r="F109" s="1005">
        <v>0</v>
      </c>
      <c r="G109" s="1006">
        <f>úpravy!H51+úpravy!H54</f>
        <v>3496</v>
      </c>
      <c r="H109" s="1005">
        <v>0</v>
      </c>
      <c r="I109" s="1005">
        <v>0</v>
      </c>
      <c r="J109" s="1005">
        <v>0</v>
      </c>
      <c r="K109" s="1005">
        <v>0</v>
      </c>
      <c r="L109" s="1007">
        <f t="shared" si="31"/>
        <v>3496</v>
      </c>
      <c r="M109" s="1005">
        <f>úpravy!K51+úpravy!K54</f>
        <v>6559</v>
      </c>
      <c r="N109" s="1005">
        <v>0</v>
      </c>
      <c r="O109" s="1008">
        <v>0</v>
      </c>
      <c r="P109" s="1008">
        <v>0</v>
      </c>
      <c r="Q109" s="1009"/>
      <c r="R109" s="1005">
        <f>úpravy!R51</f>
        <v>0</v>
      </c>
      <c r="S109" s="1001">
        <f t="shared" si="30"/>
        <v>10055</v>
      </c>
      <c r="T109" s="477">
        <f>S109+S58+S31</f>
        <v>142653</v>
      </c>
      <c r="U109" s="477"/>
      <c r="V109" s="294"/>
      <c r="W109" s="201"/>
    </row>
    <row r="110" spans="1:23" s="26" customFormat="1" ht="19.5" customHeight="1" thickBot="1">
      <c r="A110" s="763" t="s">
        <v>245</v>
      </c>
      <c r="B110" s="1005"/>
      <c r="C110" s="1005"/>
      <c r="D110" s="1005"/>
      <c r="E110" s="1005"/>
      <c r="F110" s="1005"/>
      <c r="G110" s="1006">
        <f>úpravy!H66</f>
        <v>19762</v>
      </c>
      <c r="H110" s="1005"/>
      <c r="I110" s="1005"/>
      <c r="J110" s="1005"/>
      <c r="K110" s="1005"/>
      <c r="L110" s="1007">
        <f t="shared" si="31"/>
        <v>19762</v>
      </c>
      <c r="M110" s="1005">
        <f>úpravy!K66</f>
        <v>74824</v>
      </c>
      <c r="N110" s="1005"/>
      <c r="O110" s="1008"/>
      <c r="P110" s="1008"/>
      <c r="Q110" s="1009"/>
      <c r="R110" s="1005">
        <f>úpravy!R66</f>
        <v>9092</v>
      </c>
      <c r="S110" s="1001">
        <f t="shared" si="30"/>
        <v>103678</v>
      </c>
      <c r="T110" s="477"/>
      <c r="U110" s="477"/>
      <c r="V110" s="294"/>
      <c r="W110" s="201"/>
    </row>
    <row r="111" spans="1:23" s="26" customFormat="1" ht="18.75" customHeight="1" thickBot="1">
      <c r="A111" s="527" t="s">
        <v>32</v>
      </c>
      <c r="B111" s="1002">
        <f>úpravy!C9</f>
        <v>623781</v>
      </c>
      <c r="C111" s="1003">
        <f>úpravy!D9+úpravy!D76+úpravy!D77</f>
        <v>795318</v>
      </c>
      <c r="D111" s="1002">
        <f>úpravy!E9</f>
        <v>1144700.8699999999</v>
      </c>
      <c r="E111" s="1002">
        <f>úpravy!F9+úpravy!F76</f>
        <v>1899831.15</v>
      </c>
      <c r="F111" s="1002">
        <f>úpravy!G9</f>
        <v>2000</v>
      </c>
      <c r="G111" s="1002">
        <f>úpravy!H9</f>
        <v>593020</v>
      </c>
      <c r="H111" s="1002"/>
      <c r="I111" s="1002">
        <f>úpravy!J9+úpravy!J77</f>
        <v>46156</v>
      </c>
      <c r="J111" s="1002"/>
      <c r="K111" s="1002"/>
      <c r="L111" s="1004">
        <f>SUM(B111:J111)</f>
        <v>5104807.02</v>
      </c>
      <c r="M111" s="1002"/>
      <c r="N111" s="1002"/>
      <c r="O111" s="1003"/>
      <c r="P111" s="1002"/>
      <c r="Q111" s="1003"/>
      <c r="R111" s="1002">
        <f>258444-258444</f>
        <v>0</v>
      </c>
      <c r="S111" s="406">
        <f aca="true" t="shared" si="32" ref="S111:S116">L111+M111+N111+O111+P111+Q111+R111</f>
        <v>5104807.02</v>
      </c>
      <c r="T111" s="478">
        <v>5100305.11</v>
      </c>
      <c r="U111" s="478">
        <f>S111-T111</f>
        <v>4501.909999999218</v>
      </c>
      <c r="V111" s="294">
        <f>5000-U111</f>
        <v>498.0900000007823</v>
      </c>
      <c r="W111" s="201"/>
    </row>
    <row r="112" spans="1:23" s="26" customFormat="1" ht="20.25" customHeight="1" thickBot="1">
      <c r="A112" s="241" t="s">
        <v>33</v>
      </c>
      <c r="B112" s="407"/>
      <c r="C112" s="408">
        <f>úpravy!D10</f>
        <v>246150</v>
      </c>
      <c r="D112" s="407">
        <f>úpravy!E10</f>
        <v>501779.25</v>
      </c>
      <c r="E112" s="407"/>
      <c r="F112" s="407"/>
      <c r="G112" s="407"/>
      <c r="H112" s="407"/>
      <c r="I112" s="407"/>
      <c r="J112" s="407"/>
      <c r="K112" s="407"/>
      <c r="L112" s="598">
        <f>SUM(B112:K112)</f>
        <v>747929.25</v>
      </c>
      <c r="M112" s="407"/>
      <c r="N112" s="407"/>
      <c r="O112" s="408"/>
      <c r="P112" s="407"/>
      <c r="Q112" s="408"/>
      <c r="R112" s="407"/>
      <c r="S112" s="409">
        <f t="shared" si="32"/>
        <v>747929.25</v>
      </c>
      <c r="T112" s="478"/>
      <c r="U112" s="478"/>
      <c r="V112" s="294"/>
      <c r="W112" s="201"/>
    </row>
    <row r="113" spans="1:23" s="26" customFormat="1" ht="19.5" customHeight="1" thickBot="1">
      <c r="A113" s="240" t="s">
        <v>34</v>
      </c>
      <c r="B113" s="404"/>
      <c r="C113" s="405"/>
      <c r="D113" s="404"/>
      <c r="E113" s="404"/>
      <c r="F113" s="404"/>
      <c r="G113" s="404"/>
      <c r="H113" s="404"/>
      <c r="I113" s="404"/>
      <c r="J113" s="404"/>
      <c r="K113" s="404"/>
      <c r="L113" s="598">
        <f>SUM(B113:K113)</f>
        <v>0</v>
      </c>
      <c r="M113" s="404"/>
      <c r="N113" s="404"/>
      <c r="O113" s="405"/>
      <c r="P113" s="404"/>
      <c r="Q113" s="405"/>
      <c r="R113" s="404"/>
      <c r="S113" s="406">
        <f t="shared" si="32"/>
        <v>0</v>
      </c>
      <c r="T113" s="478"/>
      <c r="U113" s="478"/>
      <c r="V113" s="294"/>
      <c r="W113" s="201"/>
    </row>
    <row r="114" spans="1:23" s="26" customFormat="1" ht="18.75" customHeight="1" thickBot="1">
      <c r="A114" s="241" t="s">
        <v>35</v>
      </c>
      <c r="B114" s="407"/>
      <c r="C114" s="408"/>
      <c r="D114" s="407"/>
      <c r="E114" s="407"/>
      <c r="F114" s="407"/>
      <c r="G114" s="407"/>
      <c r="H114" s="407"/>
      <c r="I114" s="407"/>
      <c r="J114" s="407"/>
      <c r="K114" s="407"/>
      <c r="L114" s="598">
        <f>SUM(B114:K114)</f>
        <v>0</v>
      </c>
      <c r="M114" s="407"/>
      <c r="N114" s="407"/>
      <c r="O114" s="408"/>
      <c r="P114" s="407"/>
      <c r="Q114" s="408"/>
      <c r="R114" s="407"/>
      <c r="S114" s="409">
        <f t="shared" si="32"/>
        <v>0</v>
      </c>
      <c r="T114" s="478"/>
      <c r="U114" s="478"/>
      <c r="V114" s="294"/>
      <c r="W114" s="201"/>
    </row>
    <row r="115" spans="1:23" s="26" customFormat="1" ht="18.75" customHeight="1" thickBot="1">
      <c r="A115" s="242" t="s">
        <v>36</v>
      </c>
      <c r="B115" s="404">
        <f>úpravy!C7</f>
        <v>72250</v>
      </c>
      <c r="C115" s="405">
        <f>úpravy!D7</f>
        <v>25020</v>
      </c>
      <c r="D115" s="404">
        <f>úpravy!E7</f>
        <v>166795</v>
      </c>
      <c r="E115" s="404">
        <f>úpravy!F7</f>
        <v>47815</v>
      </c>
      <c r="F115" s="404">
        <f>úpravy!G7</f>
        <v>34415</v>
      </c>
      <c r="G115" s="404">
        <f>úpravy!H7</f>
        <v>1725</v>
      </c>
      <c r="H115" s="404"/>
      <c r="I115" s="404">
        <f>úpravy!J7</f>
        <v>60590</v>
      </c>
      <c r="J115" s="404">
        <f>úpravy!M7</f>
        <v>4460</v>
      </c>
      <c r="K115" s="404"/>
      <c r="L115" s="598">
        <f>SUM(B115:K115)</f>
        <v>413070</v>
      </c>
      <c r="M115" s="404"/>
      <c r="N115" s="404"/>
      <c r="O115" s="405"/>
      <c r="P115" s="410"/>
      <c r="Q115" s="405"/>
      <c r="R115" s="404"/>
      <c r="S115" s="406">
        <f t="shared" si="32"/>
        <v>413070</v>
      </c>
      <c r="T115" s="478"/>
      <c r="U115" s="478"/>
      <c r="V115" s="294"/>
      <c r="W115" s="201"/>
    </row>
    <row r="116" spans="1:23" s="26" customFormat="1" ht="18.75" customHeight="1" thickBot="1">
      <c r="A116" s="242" t="s">
        <v>37</v>
      </c>
      <c r="B116" s="404">
        <f>úpravy!C8</f>
        <v>990</v>
      </c>
      <c r="C116" s="405">
        <f>úpravy!D8</f>
        <v>2520</v>
      </c>
      <c r="D116" s="404">
        <f>úpravy!E8</f>
        <v>1998.9</v>
      </c>
      <c r="E116" s="404">
        <f>úpravy!F8</f>
        <v>4200</v>
      </c>
      <c r="F116" s="404">
        <f>úpravy!G8</f>
        <v>2800</v>
      </c>
      <c r="G116" s="404">
        <f>úpravy!H8</f>
        <v>470.4</v>
      </c>
      <c r="H116" s="404"/>
      <c r="I116" s="404">
        <f>úpravy!J8</f>
        <v>2520</v>
      </c>
      <c r="J116" s="404">
        <f>úpravy!M8</f>
        <v>0</v>
      </c>
      <c r="K116" s="404"/>
      <c r="L116" s="598">
        <f>SUM(B116:K116)</f>
        <v>15499.3</v>
      </c>
      <c r="M116" s="404"/>
      <c r="N116" s="404"/>
      <c r="O116" s="405"/>
      <c r="P116" s="404"/>
      <c r="Q116" s="405"/>
      <c r="R116" s="404"/>
      <c r="S116" s="406">
        <f t="shared" si="32"/>
        <v>15499.3</v>
      </c>
      <c r="T116" s="478"/>
      <c r="U116" s="478"/>
      <c r="V116" s="294"/>
      <c r="W116" s="201"/>
    </row>
    <row r="117" spans="1:23" s="490" customFormat="1" ht="18.75" customHeight="1">
      <c r="A117" s="485"/>
      <c r="B117" s="486"/>
      <c r="C117" s="323"/>
      <c r="D117" s="486"/>
      <c r="E117" s="486"/>
      <c r="F117" s="486"/>
      <c r="G117" s="486"/>
      <c r="H117" s="486"/>
      <c r="I117" s="486"/>
      <c r="J117" s="486"/>
      <c r="K117" s="486"/>
      <c r="L117" s="591"/>
      <c r="M117" s="486"/>
      <c r="N117" s="486"/>
      <c r="O117" s="323"/>
      <c r="P117" s="486"/>
      <c r="Q117" s="323"/>
      <c r="R117" s="486"/>
      <c r="S117" s="487"/>
      <c r="T117" s="467"/>
      <c r="U117" s="467"/>
      <c r="V117" s="488"/>
      <c r="W117" s="489"/>
    </row>
    <row r="118" spans="1:23" s="29" customFormat="1" ht="16.5" thickBot="1">
      <c r="A118" s="178"/>
      <c r="B118" s="346"/>
      <c r="C118" s="345"/>
      <c r="D118" s="346"/>
      <c r="E118" s="346"/>
      <c r="F118" s="346"/>
      <c r="G118" s="346"/>
      <c r="H118" s="346"/>
      <c r="I118" s="346"/>
      <c r="J118" s="346"/>
      <c r="K118" s="346"/>
      <c r="L118" s="599"/>
      <c r="M118" s="346"/>
      <c r="N118" s="346"/>
      <c r="O118" s="345"/>
      <c r="P118" s="346"/>
      <c r="Q118" s="345"/>
      <c r="R118" s="346"/>
      <c r="S118" s="347">
        <f>L118+M118+N118+O118+P118+Q118+R118</f>
        <v>0</v>
      </c>
      <c r="T118" s="466"/>
      <c r="U118" s="466"/>
      <c r="V118" s="337"/>
      <c r="W118" s="203"/>
    </row>
    <row r="119" spans="1:23" s="33" customFormat="1" ht="21" customHeight="1" thickBot="1">
      <c r="A119" s="243" t="s">
        <v>38</v>
      </c>
      <c r="B119" s="411">
        <f aca="true" t="shared" si="33" ref="B119:K119">SUM(B121:B130)</f>
        <v>0</v>
      </c>
      <c r="C119" s="562">
        <f t="shared" si="33"/>
        <v>53850</v>
      </c>
      <c r="D119" s="411">
        <f t="shared" si="33"/>
        <v>250000</v>
      </c>
      <c r="E119" s="411">
        <f t="shared" si="33"/>
        <v>155700</v>
      </c>
      <c r="F119" s="411">
        <f t="shared" si="33"/>
        <v>0</v>
      </c>
      <c r="G119" s="411">
        <f t="shared" si="33"/>
        <v>83550</v>
      </c>
      <c r="H119" s="411">
        <f>SUM(H121:H130)</f>
        <v>0</v>
      </c>
      <c r="I119" s="411">
        <f t="shared" si="33"/>
        <v>0</v>
      </c>
      <c r="J119" s="411">
        <f t="shared" si="33"/>
        <v>0</v>
      </c>
      <c r="K119" s="411">
        <f t="shared" si="33"/>
        <v>0</v>
      </c>
      <c r="L119" s="600">
        <f>SUM(B119:I119)+J119</f>
        <v>543100</v>
      </c>
      <c r="M119" s="411">
        <f aca="true" t="shared" si="34" ref="M119:R119">SUM(M121:M130)</f>
        <v>0</v>
      </c>
      <c r="N119" s="411">
        <f t="shared" si="34"/>
        <v>0</v>
      </c>
      <c r="O119" s="562">
        <f t="shared" si="34"/>
        <v>0</v>
      </c>
      <c r="P119" s="411">
        <f t="shared" si="34"/>
        <v>0</v>
      </c>
      <c r="Q119" s="562">
        <f t="shared" si="34"/>
        <v>0</v>
      </c>
      <c r="R119" s="411">
        <f t="shared" si="34"/>
        <v>0</v>
      </c>
      <c r="S119" s="411">
        <f>L119+M119+N119+O119+P119+Q119+R119</f>
        <v>543100</v>
      </c>
      <c r="T119" s="479"/>
      <c r="U119" s="479"/>
      <c r="V119" s="412"/>
      <c r="W119" s="167"/>
    </row>
    <row r="120" spans="1:23" s="33" customFormat="1" ht="44.25" customHeight="1" thickBot="1">
      <c r="A120" s="629" t="s">
        <v>160</v>
      </c>
      <c r="B120" s="526">
        <f>SUM(B121:B122)</f>
        <v>0</v>
      </c>
      <c r="C120" s="525">
        <f>SUM(C121:C122)</f>
        <v>0</v>
      </c>
      <c r="D120" s="526">
        <f>SUM(D121:D122)</f>
        <v>250000</v>
      </c>
      <c r="E120" s="526">
        <f>SUM(E121:E122)</f>
        <v>150000</v>
      </c>
      <c r="F120" s="526">
        <f aca="true" t="shared" si="35" ref="F120:M120">SUM(F121:F122)</f>
        <v>0</v>
      </c>
      <c r="G120" s="526">
        <f t="shared" si="35"/>
        <v>0</v>
      </c>
      <c r="H120" s="526">
        <f>SUM(H121:H122)</f>
        <v>0</v>
      </c>
      <c r="I120" s="526">
        <f t="shared" si="35"/>
        <v>0</v>
      </c>
      <c r="J120" s="526">
        <f t="shared" si="35"/>
        <v>0</v>
      </c>
      <c r="K120" s="526">
        <f t="shared" si="35"/>
        <v>0</v>
      </c>
      <c r="L120" s="601">
        <f>SUM(B120:I120)+J120</f>
        <v>400000</v>
      </c>
      <c r="M120" s="526">
        <f t="shared" si="35"/>
        <v>0</v>
      </c>
      <c r="N120" s="526">
        <f>SUM(N121:N122)</f>
        <v>0</v>
      </c>
      <c r="O120" s="525">
        <f>SUM(O121:O122)</f>
        <v>0</v>
      </c>
      <c r="P120" s="526">
        <f>SUM(P121:P122)</f>
        <v>0</v>
      </c>
      <c r="Q120" s="525">
        <f>SUM(Q121:Q122)</f>
        <v>0</v>
      </c>
      <c r="R120" s="526">
        <f>SUM(R121:R122)</f>
        <v>0</v>
      </c>
      <c r="S120" s="526">
        <f>L120+M120+N120+O120+P120+Q120+R120</f>
        <v>400000</v>
      </c>
      <c r="T120" s="479">
        <f>400000</f>
        <v>400000</v>
      </c>
      <c r="U120" s="479">
        <f>S120-T120</f>
        <v>0</v>
      </c>
      <c r="V120" s="412"/>
      <c r="W120" s="167"/>
    </row>
    <row r="121" spans="1:23" s="33" customFormat="1" ht="47.25">
      <c r="A121" s="552" t="s">
        <v>142</v>
      </c>
      <c r="B121" s="557"/>
      <c r="C121" s="563"/>
      <c r="D121" s="557"/>
      <c r="E121" s="566">
        <f>úpravy!F206</f>
        <v>150000</v>
      </c>
      <c r="F121" s="557"/>
      <c r="G121" s="557"/>
      <c r="H121" s="557"/>
      <c r="I121" s="557"/>
      <c r="J121" s="557"/>
      <c r="K121" s="557"/>
      <c r="L121" s="602"/>
      <c r="M121" s="557"/>
      <c r="N121" s="557"/>
      <c r="O121" s="563"/>
      <c r="P121" s="557"/>
      <c r="Q121" s="563"/>
      <c r="R121" s="557"/>
      <c r="S121" s="557"/>
      <c r="T121" s="524"/>
      <c r="U121" s="479"/>
      <c r="V121" s="412"/>
      <c r="W121" s="167"/>
    </row>
    <row r="122" spans="1:23" s="33" customFormat="1" ht="32.25" thickBot="1">
      <c r="A122" s="553" t="s">
        <v>143</v>
      </c>
      <c r="B122" s="558"/>
      <c r="C122" s="564"/>
      <c r="D122" s="558">
        <f>úpravy!E207</f>
        <v>250000</v>
      </c>
      <c r="E122" s="558"/>
      <c r="F122" s="558"/>
      <c r="G122" s="558"/>
      <c r="H122" s="558"/>
      <c r="I122" s="558"/>
      <c r="J122" s="558"/>
      <c r="K122" s="558"/>
      <c r="L122" s="603"/>
      <c r="M122" s="558"/>
      <c r="N122" s="558"/>
      <c r="O122" s="564"/>
      <c r="P122" s="558"/>
      <c r="Q122" s="564"/>
      <c r="R122" s="558"/>
      <c r="S122" s="558"/>
      <c r="T122" s="524"/>
      <c r="U122" s="479"/>
      <c r="V122" s="412"/>
      <c r="W122" s="167"/>
    </row>
    <row r="123" spans="1:23" s="26" customFormat="1" ht="16.5" thickBot="1">
      <c r="A123" s="527" t="s">
        <v>32</v>
      </c>
      <c r="B123" s="528"/>
      <c r="C123" s="529"/>
      <c r="D123" s="528"/>
      <c r="E123" s="528">
        <v>5700</v>
      </c>
      <c r="F123" s="528"/>
      <c r="G123" s="528">
        <v>83550</v>
      </c>
      <c r="H123" s="528"/>
      <c r="I123" s="528"/>
      <c r="J123" s="528"/>
      <c r="K123" s="528"/>
      <c r="L123" s="604">
        <f>SUM(B123:I123)</f>
        <v>89250</v>
      </c>
      <c r="M123" s="528"/>
      <c r="N123" s="528"/>
      <c r="O123" s="529"/>
      <c r="P123" s="528"/>
      <c r="Q123" s="529"/>
      <c r="R123" s="528"/>
      <c r="S123" s="530">
        <f>L123+M123+N123+O123+P123+Q123+R123</f>
        <v>89250</v>
      </c>
      <c r="T123" s="467"/>
      <c r="U123" s="467"/>
      <c r="V123" s="294"/>
      <c r="W123" s="201"/>
    </row>
    <row r="124" spans="1:22" s="26" customFormat="1" ht="15.75" customHeight="1" thickBot="1">
      <c r="A124" s="554" t="s">
        <v>33</v>
      </c>
      <c r="B124" s="531"/>
      <c r="C124" s="532">
        <v>53850</v>
      </c>
      <c r="D124" s="531"/>
      <c r="E124" s="531"/>
      <c r="F124" s="531"/>
      <c r="G124" s="531"/>
      <c r="H124" s="531"/>
      <c r="I124" s="531"/>
      <c r="J124" s="531"/>
      <c r="K124" s="531"/>
      <c r="L124" s="605">
        <f>SUM(B124:I124)</f>
        <v>53850</v>
      </c>
      <c r="M124" s="531"/>
      <c r="N124" s="531"/>
      <c r="O124" s="532"/>
      <c r="P124" s="531"/>
      <c r="Q124" s="532"/>
      <c r="R124" s="531"/>
      <c r="S124" s="533">
        <f>L124+M124+N124+O124+P124+Q124+R124</f>
        <v>53850</v>
      </c>
      <c r="T124" s="480"/>
      <c r="U124" s="480"/>
      <c r="V124" s="294"/>
    </row>
    <row r="125" spans="1:22" s="26" customFormat="1" ht="21.75" customHeight="1" hidden="1">
      <c r="A125" s="186"/>
      <c r="B125" s="413"/>
      <c r="C125" s="414"/>
      <c r="D125" s="415"/>
      <c r="E125" s="413"/>
      <c r="F125" s="415"/>
      <c r="G125" s="413"/>
      <c r="H125" s="415"/>
      <c r="I125" s="415"/>
      <c r="J125" s="413"/>
      <c r="K125" s="414"/>
      <c r="L125" s="416">
        <f>SUM(B125:I125)</f>
        <v>0</v>
      </c>
      <c r="M125" s="413"/>
      <c r="N125" s="413"/>
      <c r="O125" s="413"/>
      <c r="P125" s="413"/>
      <c r="Q125" s="413"/>
      <c r="R125" s="417"/>
      <c r="S125" s="418">
        <f aca="true" t="shared" si="36" ref="S125:S130">SUM(L125:Q125)</f>
        <v>0</v>
      </c>
      <c r="T125" s="480"/>
      <c r="U125" s="480"/>
      <c r="V125" s="294"/>
    </row>
    <row r="126" spans="1:22" s="26" customFormat="1" ht="15" customHeight="1" hidden="1">
      <c r="A126" s="181" t="s">
        <v>40</v>
      </c>
      <c r="B126" s="419"/>
      <c r="C126" s="420"/>
      <c r="D126" s="421"/>
      <c r="E126" s="419"/>
      <c r="F126" s="422"/>
      <c r="G126" s="419"/>
      <c r="H126" s="421"/>
      <c r="I126" s="421"/>
      <c r="J126" s="419"/>
      <c r="K126" s="420"/>
      <c r="L126" s="423">
        <f>SUM(B126:J126)</f>
        <v>0</v>
      </c>
      <c r="M126" s="424"/>
      <c r="N126" s="424"/>
      <c r="O126" s="419"/>
      <c r="P126" s="424"/>
      <c r="Q126" s="424"/>
      <c r="R126" s="425"/>
      <c r="S126" s="426">
        <f t="shared" si="36"/>
        <v>0</v>
      </c>
      <c r="T126" s="481"/>
      <c r="U126" s="481"/>
      <c r="V126" s="294"/>
    </row>
    <row r="127" spans="1:22" s="26" customFormat="1" ht="18" customHeight="1" hidden="1">
      <c r="A127" s="180" t="s">
        <v>35</v>
      </c>
      <c r="B127" s="427"/>
      <c r="C127" s="428"/>
      <c r="D127" s="429"/>
      <c r="E127" s="427"/>
      <c r="F127" s="429"/>
      <c r="G127" s="427"/>
      <c r="H127" s="429"/>
      <c r="I127" s="429"/>
      <c r="J127" s="427"/>
      <c r="K127" s="428"/>
      <c r="L127" s="423">
        <f>SUM(B127:I127)</f>
        <v>0</v>
      </c>
      <c r="M127" s="427"/>
      <c r="N127" s="427"/>
      <c r="O127" s="427"/>
      <c r="P127" s="430"/>
      <c r="Q127" s="427"/>
      <c r="R127" s="431"/>
      <c r="S127" s="432">
        <f t="shared" si="36"/>
        <v>0</v>
      </c>
      <c r="T127" s="482"/>
      <c r="U127" s="482"/>
      <c r="V127" s="294"/>
    </row>
    <row r="128" spans="1:22" s="26" customFormat="1" ht="15" customHeight="1" hidden="1" thickBot="1">
      <c r="A128" s="181" t="s">
        <v>41</v>
      </c>
      <c r="B128" s="433"/>
      <c r="C128" s="434"/>
      <c r="D128" s="422"/>
      <c r="E128" s="424"/>
      <c r="F128" s="422"/>
      <c r="G128" s="424"/>
      <c r="H128" s="422"/>
      <c r="I128" s="422"/>
      <c r="J128" s="424"/>
      <c r="K128" s="434"/>
      <c r="L128" s="423">
        <f>SUM(B128:J128)</f>
        <v>0</v>
      </c>
      <c r="M128" s="424"/>
      <c r="N128" s="424"/>
      <c r="O128" s="424"/>
      <c r="P128" s="424"/>
      <c r="Q128" s="424"/>
      <c r="R128" s="435"/>
      <c r="S128" s="436">
        <f t="shared" si="36"/>
        <v>0</v>
      </c>
      <c r="T128" s="481"/>
      <c r="U128" s="481"/>
      <c r="V128" s="294"/>
    </row>
    <row r="129" spans="1:22" ht="13.5" customHeight="1" hidden="1" thickBot="1">
      <c r="A129" s="179" t="s">
        <v>32</v>
      </c>
      <c r="B129" s="437"/>
      <c r="C129" s="438"/>
      <c r="D129" s="439"/>
      <c r="E129" s="440"/>
      <c r="F129" s="439"/>
      <c r="G129" s="440"/>
      <c r="H129" s="439"/>
      <c r="I129" s="439"/>
      <c r="J129" s="437"/>
      <c r="K129" s="441"/>
      <c r="L129" s="442"/>
      <c r="M129" s="443"/>
      <c r="N129" s="440"/>
      <c r="O129" s="440"/>
      <c r="P129" s="440"/>
      <c r="Q129" s="440"/>
      <c r="R129" s="444"/>
      <c r="S129" s="445">
        <f t="shared" si="36"/>
        <v>0</v>
      </c>
      <c r="T129" s="483"/>
      <c r="U129" s="483"/>
      <c r="V129" s="451"/>
    </row>
    <row r="130" spans="1:22" ht="15.75" customHeight="1" hidden="1" thickBot="1">
      <c r="A130" s="49" t="s">
        <v>35</v>
      </c>
      <c r="B130" s="437"/>
      <c r="C130" s="437"/>
      <c r="D130" s="437"/>
      <c r="E130" s="437"/>
      <c r="F130" s="437"/>
      <c r="G130" s="437"/>
      <c r="H130" s="437"/>
      <c r="I130" s="437"/>
      <c r="J130" s="437"/>
      <c r="K130" s="437"/>
      <c r="L130" s="446">
        <f>SUM(B130:I130)</f>
        <v>0</v>
      </c>
      <c r="M130" s="437"/>
      <c r="N130" s="437"/>
      <c r="O130" s="437"/>
      <c r="P130" s="437"/>
      <c r="Q130" s="437"/>
      <c r="R130" s="447"/>
      <c r="S130" s="448">
        <f t="shared" si="36"/>
        <v>0</v>
      </c>
      <c r="T130" s="483"/>
      <c r="U130" s="483"/>
      <c r="V130" s="451"/>
    </row>
    <row r="131" spans="1:22" ht="12.75">
      <c r="A131" s="34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449"/>
      <c r="M131" s="288"/>
      <c r="N131" s="288"/>
      <c r="O131" s="288"/>
      <c r="P131" s="288"/>
      <c r="Q131" s="288"/>
      <c r="R131" s="288"/>
      <c r="S131" s="359"/>
      <c r="T131" s="359"/>
      <c r="U131" s="359"/>
      <c r="V131" s="451"/>
    </row>
    <row r="132" spans="1:22" ht="12.75">
      <c r="A132" s="50"/>
      <c r="B132" s="288"/>
      <c r="C132" s="288"/>
      <c r="D132" s="288"/>
      <c r="E132" s="288"/>
      <c r="F132" s="450"/>
      <c r="G132" s="288"/>
      <c r="H132" s="288"/>
      <c r="I132" s="288"/>
      <c r="J132" s="288"/>
      <c r="K132" s="288"/>
      <c r="L132" s="449"/>
      <c r="M132" s="288"/>
      <c r="N132" s="288"/>
      <c r="O132" s="288"/>
      <c r="P132" s="288"/>
      <c r="Q132" s="288"/>
      <c r="R132" s="288"/>
      <c r="S132" s="359"/>
      <c r="T132" s="359"/>
      <c r="U132" s="359"/>
      <c r="V132" s="451"/>
    </row>
    <row r="133" spans="1:22" ht="12.75">
      <c r="A133" s="51"/>
      <c r="B133" s="288"/>
      <c r="C133" s="288"/>
      <c r="D133" s="288"/>
      <c r="E133" s="288"/>
      <c r="F133" s="1082">
        <f>86173621.29-86702292.37</f>
        <v>-528671.0799999982</v>
      </c>
      <c r="G133" s="288"/>
      <c r="H133" s="288"/>
      <c r="I133" s="288"/>
      <c r="J133" s="288"/>
      <c r="K133" s="288"/>
      <c r="L133" s="449"/>
      <c r="M133" s="288"/>
      <c r="N133" s="288"/>
      <c r="O133" s="288"/>
      <c r="P133" s="288"/>
      <c r="Q133" s="288"/>
      <c r="R133" s="288"/>
      <c r="S133" s="359"/>
      <c r="T133" s="359"/>
      <c r="U133" s="359"/>
      <c r="V133" s="451"/>
    </row>
    <row r="134" spans="1:22" ht="12.75">
      <c r="A134" s="51"/>
      <c r="B134" s="288"/>
      <c r="C134" s="288"/>
      <c r="D134" s="288"/>
      <c r="E134" s="288"/>
      <c r="F134" s="1082">
        <f>543100--F133</f>
        <v>14428.920000001788</v>
      </c>
      <c r="G134" s="288"/>
      <c r="H134" s="288"/>
      <c r="I134" s="288"/>
      <c r="J134" s="288"/>
      <c r="K134" s="288"/>
      <c r="L134" s="449"/>
      <c r="M134" s="288"/>
      <c r="N134" s="288"/>
      <c r="O134" s="288"/>
      <c r="P134" s="288"/>
      <c r="Q134" s="451"/>
      <c r="R134" s="288"/>
      <c r="S134" s="359"/>
      <c r="T134" s="359"/>
      <c r="U134" s="359"/>
      <c r="V134" s="451"/>
    </row>
    <row r="135" spans="1:22" ht="12.75">
      <c r="A135" s="34"/>
      <c r="B135" s="288"/>
      <c r="C135" s="288"/>
      <c r="D135" s="288"/>
      <c r="E135" s="288"/>
      <c r="F135" s="288"/>
      <c r="G135" s="288"/>
      <c r="H135" s="288"/>
      <c r="I135" s="288"/>
      <c r="J135" s="288"/>
      <c r="K135" s="288"/>
      <c r="L135" s="449"/>
      <c r="M135" s="288"/>
      <c r="N135" s="288"/>
      <c r="O135" s="288"/>
      <c r="P135" s="288"/>
      <c r="Q135" s="451"/>
      <c r="R135" s="288"/>
      <c r="S135" s="359"/>
      <c r="T135" s="359"/>
      <c r="U135" s="359"/>
      <c r="V135" s="451"/>
    </row>
    <row r="136" spans="1:17" ht="14.25">
      <c r="A136" s="201"/>
      <c r="Q136" s="52"/>
    </row>
    <row r="137" ht="12.75">
      <c r="A137" s="51"/>
    </row>
    <row r="138" spans="1:22" ht="12.75">
      <c r="A138" s="34"/>
      <c r="N138" s="168"/>
      <c r="O138" s="168"/>
      <c r="P138" s="168"/>
      <c r="Q138" s="168"/>
      <c r="R138" s="168"/>
      <c r="S138" s="169"/>
      <c r="T138" s="169"/>
      <c r="U138" s="169"/>
      <c r="V138" s="21"/>
    </row>
    <row r="139" spans="1:22" ht="12.75">
      <c r="A139" s="34"/>
      <c r="N139" s="168"/>
      <c r="O139" s="168"/>
      <c r="P139" s="168"/>
      <c r="Q139" s="168"/>
      <c r="R139" s="168"/>
      <c r="S139" s="169"/>
      <c r="T139" s="169"/>
      <c r="U139" s="169"/>
      <c r="V139" s="21"/>
    </row>
    <row r="140" spans="1:22" ht="12.75">
      <c r="A140" s="34"/>
      <c r="N140" s="168"/>
      <c r="O140" s="169"/>
      <c r="P140" s="169"/>
      <c r="Q140" s="168"/>
      <c r="R140" s="168"/>
      <c r="S140" s="169"/>
      <c r="T140" s="169"/>
      <c r="U140" s="169"/>
      <c r="V140" s="21"/>
    </row>
    <row r="141" spans="1:22" ht="12.75">
      <c r="A141" s="34"/>
      <c r="N141" s="168"/>
      <c r="O141" s="43"/>
      <c r="P141" s="43"/>
      <c r="Q141" s="168"/>
      <c r="R141" s="168"/>
      <c r="S141" s="169"/>
      <c r="T141" s="169"/>
      <c r="U141" s="169"/>
      <c r="V141" s="21"/>
    </row>
    <row r="142" spans="1:22" ht="12.75">
      <c r="A142" s="34"/>
      <c r="N142" s="168"/>
      <c r="O142" s="168"/>
      <c r="P142" s="168"/>
      <c r="Q142" s="168"/>
      <c r="R142" s="168"/>
      <c r="S142" s="169"/>
      <c r="T142" s="169"/>
      <c r="U142" s="169"/>
      <c r="V142" s="21"/>
    </row>
    <row r="143" spans="1:22" ht="12.75">
      <c r="A143" s="34"/>
      <c r="N143" s="168"/>
      <c r="O143" s="168"/>
      <c r="P143" s="168"/>
      <c r="Q143" s="168"/>
      <c r="R143" s="168"/>
      <c r="S143" s="169"/>
      <c r="T143" s="169"/>
      <c r="U143" s="169"/>
      <c r="V143" s="21"/>
    </row>
    <row r="144" spans="1:22" ht="12.75">
      <c r="A144" s="34"/>
      <c r="N144" s="168"/>
      <c r="O144" s="168"/>
      <c r="P144" s="168"/>
      <c r="Q144" s="168"/>
      <c r="R144" s="168"/>
      <c r="S144" s="169"/>
      <c r="T144" s="169"/>
      <c r="U144" s="169"/>
      <c r="V144" s="21"/>
    </row>
    <row r="145" spans="1:22" ht="12.75">
      <c r="A145" s="34"/>
      <c r="N145" s="168"/>
      <c r="O145" s="168"/>
      <c r="P145" s="168"/>
      <c r="Q145" s="168"/>
      <c r="R145" s="168"/>
      <c r="S145" s="169"/>
      <c r="T145" s="169"/>
      <c r="U145" s="169"/>
      <c r="V145" s="21"/>
    </row>
    <row r="146" spans="1:22" ht="12.75">
      <c r="A146" s="34"/>
      <c r="N146" s="168"/>
      <c r="O146" s="168"/>
      <c r="P146" s="168"/>
      <c r="Q146" s="168"/>
      <c r="R146" s="168"/>
      <c r="S146" s="169"/>
      <c r="T146" s="169"/>
      <c r="U146" s="169"/>
      <c r="V146" s="21"/>
    </row>
    <row r="147" spans="1:22" ht="12.75">
      <c r="A147" s="34"/>
      <c r="V147" s="21"/>
    </row>
  </sheetData>
  <sheetProtection/>
  <mergeCells count="2">
    <mergeCell ref="A1:S1"/>
    <mergeCell ref="T4:U4"/>
  </mergeCells>
  <printOptions horizontalCentered="1" verticalCentered="1"/>
  <pageMargins left="0.2362204724409449" right="0.15748031496062992" top="0.2755905511811024" bottom="0.31496062992125984" header="0.1968503937007874" footer="0.11811023622047245"/>
  <pageSetup fitToHeight="2" fitToWidth="3" horizontalDpi="600" verticalDpi="600" orientation="landscape" paperSize="9" scale="41" r:id="rId1"/>
  <headerFooter alignWithMargins="0">
    <oddFooter>&amp;L&amp;Z&amp;F        &amp;A&amp;R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UD 2013</dc:title>
  <dc:subject/>
  <dc:creator>Vanáková</dc:creator>
  <cp:keywords/>
  <dc:description/>
  <cp:lastModifiedBy>Gogorova</cp:lastModifiedBy>
  <cp:lastPrinted>2022-01-27T08:03:14Z</cp:lastPrinted>
  <dcterms:created xsi:type="dcterms:W3CDTF">2011-05-10T07:34:41Z</dcterms:created>
  <dcterms:modified xsi:type="dcterms:W3CDTF">2022-11-22T12:33:43Z</dcterms:modified>
  <cp:category/>
  <cp:version/>
  <cp:contentType/>
  <cp:contentStatus/>
</cp:coreProperties>
</file>