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38400" windowHeight="15990" activeTab="4"/>
  </bookViews>
  <sheets>
    <sheet name="dotacia STU fakulty 2020" sheetId="1" r:id="rId1"/>
    <sheet name="AIS pocet studentov 31.10." sheetId="2" r:id="rId2"/>
    <sheet name="vypocet dotacie na studenta" sheetId="6" r:id="rId3"/>
    <sheet name="vypocet vykonov fakult" sheetId="7" r:id="rId4"/>
    <sheet name="overenie" sheetId="8" r:id="rId5"/>
  </sheets>
  <definedNames>
    <definedName name="cl_vypocet_vykonu" localSheetId="0">'dotacia STU fakulty 2020'!$A$8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6" l="1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66" i="8"/>
  <c r="Q32" i="8"/>
  <c r="Q58" i="8"/>
  <c r="O86" i="8"/>
  <c r="R42" i="8"/>
  <c r="R46" i="8"/>
  <c r="R23" i="8"/>
  <c r="O78" i="8"/>
  <c r="P78" i="8"/>
  <c r="O79" i="8"/>
  <c r="O80" i="8"/>
  <c r="O81" i="8"/>
  <c r="Q81" i="8"/>
  <c r="O82" i="8"/>
  <c r="P82" i="8"/>
  <c r="O83" i="8"/>
  <c r="O84" i="8"/>
  <c r="P84" i="8"/>
  <c r="Q84" i="8"/>
  <c r="O85" i="8"/>
  <c r="P85" i="8"/>
  <c r="K85" i="8"/>
  <c r="Q85" i="8" s="1"/>
  <c r="I85" i="8"/>
  <c r="H85" i="8"/>
  <c r="J85" i="8" s="1"/>
  <c r="K84" i="8"/>
  <c r="I84" i="8"/>
  <c r="H84" i="8"/>
  <c r="J84" i="8" s="1"/>
  <c r="K83" i="8"/>
  <c r="Q83" i="8" s="1"/>
  <c r="I83" i="8"/>
  <c r="J83" i="8"/>
  <c r="K82" i="8"/>
  <c r="Q82" i="8" s="1"/>
  <c r="R82" i="8" s="1"/>
  <c r="J82" i="8"/>
  <c r="I82" i="8"/>
  <c r="K81" i="8"/>
  <c r="I81" i="8"/>
  <c r="H81" i="8"/>
  <c r="J81" i="8" s="1"/>
  <c r="K80" i="8"/>
  <c r="Q80" i="8" s="1"/>
  <c r="I80" i="8"/>
  <c r="H80" i="8"/>
  <c r="J80" i="8" s="1"/>
  <c r="K79" i="8"/>
  <c r="Q79" i="8" s="1"/>
  <c r="I79" i="8"/>
  <c r="J79" i="8"/>
  <c r="K78" i="8"/>
  <c r="Q78" i="8" s="1"/>
  <c r="J78" i="8"/>
  <c r="I78" i="8"/>
  <c r="K77" i="8"/>
  <c r="I77" i="8"/>
  <c r="H77" i="8"/>
  <c r="J77" i="8" s="1"/>
  <c r="K76" i="8"/>
  <c r="I76" i="8"/>
  <c r="H76" i="8"/>
  <c r="J76" i="8" s="1"/>
  <c r="K75" i="8"/>
  <c r="I75" i="8"/>
  <c r="J75" i="8"/>
  <c r="K74" i="8"/>
  <c r="J74" i="8"/>
  <c r="I74" i="8"/>
  <c r="K73" i="8"/>
  <c r="I73" i="8"/>
  <c r="H73" i="8"/>
  <c r="J73" i="8" s="1"/>
  <c r="K72" i="8"/>
  <c r="I72" i="8"/>
  <c r="H72" i="8"/>
  <c r="J72" i="8" s="1"/>
  <c r="K71" i="8"/>
  <c r="I71" i="8"/>
  <c r="J71" i="8"/>
  <c r="K70" i="8"/>
  <c r="J70" i="8"/>
  <c r="I70" i="8"/>
  <c r="I69" i="8"/>
  <c r="H69" i="8"/>
  <c r="J69" i="8" s="1"/>
  <c r="I68" i="8"/>
  <c r="H68" i="8"/>
  <c r="J68" i="8" s="1"/>
  <c r="I67" i="8"/>
  <c r="J67" i="8"/>
  <c r="J66" i="8"/>
  <c r="I66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38" i="8"/>
  <c r="O50" i="8"/>
  <c r="R50" i="8" s="1"/>
  <c r="P50" i="8"/>
  <c r="O51" i="8"/>
  <c r="O52" i="8"/>
  <c r="O53" i="8"/>
  <c r="O54" i="8"/>
  <c r="R54" i="8" s="1"/>
  <c r="P54" i="8"/>
  <c r="O55" i="8"/>
  <c r="O56" i="8"/>
  <c r="O57" i="8"/>
  <c r="K57" i="8"/>
  <c r="Q57" i="8" s="1"/>
  <c r="I57" i="8"/>
  <c r="H57" i="8"/>
  <c r="J57" i="8" s="1"/>
  <c r="K56" i="8"/>
  <c r="Q56" i="8" s="1"/>
  <c r="I56" i="8"/>
  <c r="H56" i="8"/>
  <c r="J56" i="8" s="1"/>
  <c r="K55" i="8"/>
  <c r="Q55" i="8" s="1"/>
  <c r="I55" i="8"/>
  <c r="H55" i="8"/>
  <c r="J55" i="8" s="1"/>
  <c r="K54" i="8"/>
  <c r="Q54" i="8" s="1"/>
  <c r="J54" i="8"/>
  <c r="I54" i="8"/>
  <c r="K53" i="8"/>
  <c r="Q53" i="8" s="1"/>
  <c r="I53" i="8"/>
  <c r="H53" i="8"/>
  <c r="J53" i="8" s="1"/>
  <c r="K52" i="8"/>
  <c r="Q52" i="8" s="1"/>
  <c r="I52" i="8"/>
  <c r="H52" i="8"/>
  <c r="P52" i="8" s="1"/>
  <c r="K51" i="8"/>
  <c r="Q51" i="8" s="1"/>
  <c r="I51" i="8"/>
  <c r="H51" i="8"/>
  <c r="J51" i="8" s="1"/>
  <c r="K50" i="8"/>
  <c r="Q50" i="8" s="1"/>
  <c r="J50" i="8"/>
  <c r="I50" i="8"/>
  <c r="K49" i="8"/>
  <c r="I49" i="8"/>
  <c r="H49" i="8"/>
  <c r="J49" i="8" s="1"/>
  <c r="K48" i="8"/>
  <c r="I48" i="8"/>
  <c r="H48" i="8"/>
  <c r="J48" i="8" s="1"/>
  <c r="K47" i="8"/>
  <c r="I47" i="8"/>
  <c r="H47" i="8"/>
  <c r="J47" i="8" s="1"/>
  <c r="K46" i="8"/>
  <c r="J46" i="8"/>
  <c r="I46" i="8"/>
  <c r="K45" i="8"/>
  <c r="I45" i="8"/>
  <c r="H45" i="8"/>
  <c r="J45" i="8" s="1"/>
  <c r="K44" i="8"/>
  <c r="I44" i="8"/>
  <c r="H44" i="8"/>
  <c r="J44" i="8" s="1"/>
  <c r="K43" i="8"/>
  <c r="I43" i="8"/>
  <c r="H43" i="8"/>
  <c r="J43" i="8" s="1"/>
  <c r="K42" i="8"/>
  <c r="J42" i="8"/>
  <c r="I42" i="8"/>
  <c r="I41" i="8"/>
  <c r="H41" i="8"/>
  <c r="J41" i="8" s="1"/>
  <c r="I40" i="8"/>
  <c r="H40" i="8"/>
  <c r="J40" i="8" s="1"/>
  <c r="I39" i="8"/>
  <c r="H39" i="8"/>
  <c r="J39" i="8" s="1"/>
  <c r="J38" i="8"/>
  <c r="I38" i="8"/>
  <c r="Q13" i="8"/>
  <c r="Q14" i="8"/>
  <c r="Q15" i="8"/>
  <c r="Q12" i="8"/>
  <c r="P16" i="8"/>
  <c r="P20" i="8"/>
  <c r="P24" i="8"/>
  <c r="P28" i="8"/>
  <c r="O13" i="8"/>
  <c r="R13" i="8" s="1"/>
  <c r="O14" i="8"/>
  <c r="R14" i="8" s="1"/>
  <c r="O15" i="8"/>
  <c r="O16" i="8"/>
  <c r="R16" i="8" s="1"/>
  <c r="O17" i="8"/>
  <c r="O18" i="8"/>
  <c r="O19" i="8"/>
  <c r="O20" i="8"/>
  <c r="O21" i="8"/>
  <c r="O22" i="8"/>
  <c r="O23" i="8"/>
  <c r="O24" i="8"/>
  <c r="R24" i="8" s="1"/>
  <c r="O25" i="8"/>
  <c r="O26" i="8"/>
  <c r="O27" i="8"/>
  <c r="O28" i="8"/>
  <c r="R28" i="8" s="1"/>
  <c r="O29" i="8"/>
  <c r="O30" i="8"/>
  <c r="O31" i="8"/>
  <c r="K17" i="8"/>
  <c r="Q17" i="8" s="1"/>
  <c r="K18" i="8"/>
  <c r="Q18" i="8" s="1"/>
  <c r="K19" i="8"/>
  <c r="Q19" i="8" s="1"/>
  <c r="K20" i="8"/>
  <c r="Q20" i="8" s="1"/>
  <c r="K21" i="8"/>
  <c r="Q21" i="8" s="1"/>
  <c r="K22" i="8"/>
  <c r="Q22" i="8" s="1"/>
  <c r="K23" i="8"/>
  <c r="Q23" i="8" s="1"/>
  <c r="K24" i="8"/>
  <c r="Q24" i="8" s="1"/>
  <c r="K25" i="8"/>
  <c r="Q25" i="8" s="1"/>
  <c r="K26" i="8"/>
  <c r="Q26" i="8" s="1"/>
  <c r="K27" i="8"/>
  <c r="Q27" i="8" s="1"/>
  <c r="K28" i="8"/>
  <c r="Q28" i="8" s="1"/>
  <c r="K29" i="8"/>
  <c r="Q29" i="8" s="1"/>
  <c r="K30" i="8"/>
  <c r="Q30" i="8" s="1"/>
  <c r="K31" i="8"/>
  <c r="Q31" i="8" s="1"/>
  <c r="J16" i="8"/>
  <c r="J20" i="8"/>
  <c r="J24" i="8"/>
  <c r="J28" i="8"/>
  <c r="J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12" i="8"/>
  <c r="H13" i="8"/>
  <c r="P13" i="8" s="1"/>
  <c r="H14" i="8"/>
  <c r="P14" i="8" s="1"/>
  <c r="H15" i="8"/>
  <c r="J15" i="8" s="1"/>
  <c r="H17" i="8"/>
  <c r="P17" i="8" s="1"/>
  <c r="H18" i="8"/>
  <c r="P18" i="8" s="1"/>
  <c r="H19" i="8"/>
  <c r="P19" i="8" s="1"/>
  <c r="H21" i="8"/>
  <c r="J21" i="8" s="1"/>
  <c r="H22" i="8"/>
  <c r="J22" i="8" s="1"/>
  <c r="H23" i="8"/>
  <c r="P23" i="8" s="1"/>
  <c r="H25" i="8"/>
  <c r="J25" i="8" s="1"/>
  <c r="H26" i="8"/>
  <c r="J26" i="8" s="1"/>
  <c r="H27" i="8"/>
  <c r="J27" i="8" s="1"/>
  <c r="H29" i="8"/>
  <c r="P29" i="8" s="1"/>
  <c r="H30" i="8"/>
  <c r="P30" i="8" s="1"/>
  <c r="H31" i="8"/>
  <c r="P31" i="8" s="1"/>
  <c r="O12" i="8"/>
  <c r="F19" i="8"/>
  <c r="F18" i="8"/>
  <c r="F17" i="8"/>
  <c r="K16" i="8"/>
  <c r="Q16" i="8" s="1"/>
  <c r="F16" i="8"/>
  <c r="F28" i="8"/>
  <c r="F24" i="8"/>
  <c r="F20" i="8"/>
  <c r="F12" i="8"/>
  <c r="R84" i="8" l="1"/>
  <c r="R78" i="8"/>
  <c r="P81" i="8"/>
  <c r="R81" i="8" s="1"/>
  <c r="R20" i="8"/>
  <c r="R31" i="8"/>
  <c r="R19" i="8"/>
  <c r="R30" i="8"/>
  <c r="R18" i="8"/>
  <c r="R29" i="8"/>
  <c r="R17" i="8"/>
  <c r="R52" i="8"/>
  <c r="R26" i="8"/>
  <c r="R55" i="8"/>
  <c r="O32" i="8"/>
  <c r="O58" i="8"/>
  <c r="R85" i="8"/>
  <c r="P80" i="8"/>
  <c r="P83" i="8"/>
  <c r="R80" i="8"/>
  <c r="R83" i="8"/>
  <c r="P79" i="8"/>
  <c r="R79" i="8" s="1"/>
  <c r="J52" i="8"/>
  <c r="P57" i="8"/>
  <c r="R57" i="8" s="1"/>
  <c r="J23" i="8"/>
  <c r="J19" i="8"/>
  <c r="J18" i="8"/>
  <c r="P53" i="8"/>
  <c r="R53" i="8" s="1"/>
  <c r="J17" i="8"/>
  <c r="P56" i="8"/>
  <c r="R56" i="8" s="1"/>
  <c r="P27" i="8"/>
  <c r="R27" i="8" s="1"/>
  <c r="P55" i="8"/>
  <c r="P15" i="8"/>
  <c r="P51" i="8"/>
  <c r="R51" i="8" s="1"/>
  <c r="P25" i="8"/>
  <c r="R25" i="8" s="1"/>
  <c r="P26" i="8"/>
  <c r="J30" i="8"/>
  <c r="P21" i="8"/>
  <c r="R21" i="8" s="1"/>
  <c r="J14" i="8"/>
  <c r="J31" i="8"/>
  <c r="P22" i="8"/>
  <c r="R22" i="8" s="1"/>
  <c r="J29" i="8"/>
  <c r="J13" i="8"/>
  <c r="P12" i="8"/>
  <c r="R12" i="8" s="1"/>
  <c r="P32" i="8" l="1"/>
  <c r="R15" i="8"/>
  <c r="R32" i="8" s="1"/>
  <c r="O77" i="8" l="1"/>
  <c r="Q77" i="8"/>
  <c r="O76" i="8"/>
  <c r="Q76" i="8"/>
  <c r="O75" i="8"/>
  <c r="Q75" i="8"/>
  <c r="O74" i="8"/>
  <c r="Q74" i="8"/>
  <c r="P74" i="8"/>
  <c r="O73" i="8"/>
  <c r="Q73" i="8"/>
  <c r="P73" i="8"/>
  <c r="P72" i="8"/>
  <c r="O72" i="8"/>
  <c r="Q72" i="8"/>
  <c r="O71" i="8"/>
  <c r="Q71" i="8"/>
  <c r="O70" i="8"/>
  <c r="Q70" i="8"/>
  <c r="O69" i="8"/>
  <c r="Q69" i="8"/>
  <c r="Q68" i="8"/>
  <c r="O68" i="8"/>
  <c r="P68" i="8"/>
  <c r="Q67" i="8"/>
  <c r="P67" i="8"/>
  <c r="O67" i="8"/>
  <c r="O66" i="8"/>
  <c r="Q66" i="8"/>
  <c r="P66" i="8"/>
  <c r="F13" i="8"/>
  <c r="F14" i="8"/>
  <c r="F15" i="8"/>
  <c r="F21" i="8"/>
  <c r="F22" i="8"/>
  <c r="F23" i="8"/>
  <c r="F25" i="8"/>
  <c r="F26" i="8"/>
  <c r="F27" i="8"/>
  <c r="F29" i="8"/>
  <c r="F30" i="8"/>
  <c r="F31" i="8"/>
  <c r="D9" i="6"/>
  <c r="Q86" i="8" l="1"/>
  <c r="R67" i="8"/>
  <c r="P77" i="8"/>
  <c r="R77" i="8" s="1"/>
  <c r="P76" i="8"/>
  <c r="R76" i="8" s="1"/>
  <c r="R72" i="8"/>
  <c r="P71" i="8"/>
  <c r="R71" i="8" s="1"/>
  <c r="P70" i="8"/>
  <c r="R70" i="8" s="1"/>
  <c r="R74" i="8"/>
  <c r="R66" i="8"/>
  <c r="R68" i="8"/>
  <c r="R73" i="8"/>
  <c r="P69" i="8"/>
  <c r="R69" i="8" s="1"/>
  <c r="P75" i="8"/>
  <c r="R75" i="8" s="1"/>
  <c r="Q38" i="8"/>
  <c r="Q41" i="8"/>
  <c r="Q42" i="8"/>
  <c r="Q43" i="8"/>
  <c r="Q44" i="8"/>
  <c r="Q45" i="8"/>
  <c r="Q46" i="8"/>
  <c r="Q47" i="8"/>
  <c r="Q48" i="8"/>
  <c r="Q49" i="8"/>
  <c r="Q39" i="8"/>
  <c r="Q40" i="8"/>
  <c r="P86" i="8" l="1"/>
  <c r="R86" i="8"/>
  <c r="P49" i="8"/>
  <c r="R49" i="8" s="1"/>
  <c r="O49" i="8"/>
  <c r="P48" i="8"/>
  <c r="R48" i="8" s="1"/>
  <c r="O48" i="8"/>
  <c r="P47" i="8"/>
  <c r="R47" i="8" s="1"/>
  <c r="O47" i="8"/>
  <c r="P46" i="8"/>
  <c r="O46" i="8"/>
  <c r="P45" i="8"/>
  <c r="R45" i="8" s="1"/>
  <c r="O45" i="8"/>
  <c r="P44" i="8"/>
  <c r="R44" i="8" s="1"/>
  <c r="O44" i="8"/>
  <c r="P43" i="8"/>
  <c r="R43" i="8" s="1"/>
  <c r="O43" i="8"/>
  <c r="P42" i="8"/>
  <c r="O42" i="8"/>
  <c r="P41" i="8"/>
  <c r="R41" i="8" s="1"/>
  <c r="O41" i="8"/>
  <c r="P40" i="8"/>
  <c r="R40" i="8" s="1"/>
  <c r="O40" i="8"/>
  <c r="P39" i="8"/>
  <c r="O39" i="8"/>
  <c r="P38" i="8"/>
  <c r="O38" i="8"/>
  <c r="R39" i="8" l="1"/>
  <c r="R58" i="8" s="1"/>
  <c r="P58" i="8"/>
  <c r="R38" i="8"/>
  <c r="E7" i="6" l="1"/>
  <c r="E22" i="6" l="1"/>
  <c r="E26" i="6" s="1"/>
  <c r="E21" i="6"/>
  <c r="E25" i="6" s="1"/>
  <c r="E20" i="6"/>
  <c r="E24" i="6" s="1"/>
  <c r="E19" i="6"/>
  <c r="E18" i="6"/>
  <c r="B4" i="2"/>
  <c r="D13" i="6"/>
  <c r="E14" i="6" s="1"/>
  <c r="D15" i="6" s="1"/>
  <c r="D2" i="6"/>
  <c r="D4" i="6" s="1"/>
  <c r="D8" i="6" s="1"/>
  <c r="C9" i="1"/>
  <c r="B9" i="1"/>
  <c r="E23" i="6" l="1"/>
  <c r="E27" i="6" s="1"/>
  <c r="D32" i="6" l="1"/>
  <c r="D36" i="6" s="1"/>
  <c r="D30" i="6"/>
  <c r="D33" i="6"/>
  <c r="D37" i="6" s="1"/>
  <c r="D29" i="6"/>
  <c r="G7" i="2"/>
  <c r="D6" i="2"/>
  <c r="C7" i="2"/>
  <c r="D7" i="2" s="1"/>
  <c r="E8" i="2"/>
  <c r="B8" i="2"/>
  <c r="D19" i="2"/>
  <c r="D13" i="2"/>
  <c r="D14" i="2"/>
  <c r="D15" i="2"/>
  <c r="D16" i="2"/>
  <c r="D17" i="2"/>
  <c r="D18" i="2"/>
  <c r="D12" i="2"/>
  <c r="B20" i="2"/>
  <c r="B5" i="2" s="1"/>
  <c r="F5" i="2" s="1"/>
  <c r="H5" i="2" s="1"/>
  <c r="C20" i="2"/>
  <c r="F6" i="2"/>
  <c r="H6" i="2" s="1"/>
  <c r="F7" i="2"/>
  <c r="F3" i="2"/>
  <c r="F8" i="2" s="1"/>
  <c r="D3" i="7" l="1"/>
  <c r="D9" i="7" s="1"/>
  <c r="D31" i="6"/>
  <c r="D35" i="6" s="1"/>
  <c r="D4" i="7"/>
  <c r="D10" i="7" s="1"/>
  <c r="H7" i="2"/>
  <c r="F4" i="2"/>
  <c r="D5" i="2"/>
  <c r="D4" i="2"/>
  <c r="D20" i="2"/>
  <c r="D16" i="7" l="1"/>
  <c r="D5" i="8" s="1"/>
  <c r="D15" i="7"/>
  <c r="D4" i="8" s="1"/>
  <c r="D2" i="7"/>
  <c r="D8" i="7" s="1"/>
  <c r="D8" i="2"/>
  <c r="H4" i="2"/>
  <c r="H8" i="2" s="1"/>
  <c r="M84" i="8" l="1"/>
  <c r="M85" i="8"/>
  <c r="M83" i="8"/>
  <c r="M82" i="8"/>
  <c r="M79" i="8"/>
  <c r="M80" i="8"/>
  <c r="M78" i="8"/>
  <c r="M81" i="8"/>
  <c r="M50" i="8"/>
  <c r="M51" i="8"/>
  <c r="M46" i="8"/>
  <c r="N46" i="8" s="1"/>
  <c r="M55" i="8"/>
  <c r="M57" i="8"/>
  <c r="M45" i="8"/>
  <c r="N45" i="8" s="1"/>
  <c r="M52" i="8"/>
  <c r="M56" i="8"/>
  <c r="M41" i="8"/>
  <c r="N41" i="8" s="1"/>
  <c r="M48" i="8"/>
  <c r="N48" i="8" s="1"/>
  <c r="M44" i="8"/>
  <c r="N44" i="8" s="1"/>
  <c r="M43" i="8"/>
  <c r="N43" i="8" s="1"/>
  <c r="M39" i="8"/>
  <c r="N39" i="8" s="1"/>
  <c r="M49" i="8"/>
  <c r="N49" i="8" s="1"/>
  <c r="M54" i="8"/>
  <c r="M40" i="8"/>
  <c r="N40" i="8" s="1"/>
  <c r="M47" i="8"/>
  <c r="N47" i="8" s="1"/>
  <c r="M42" i="8"/>
  <c r="N42" i="8" s="1"/>
  <c r="M53" i="8"/>
  <c r="D14" i="7"/>
  <c r="D3" i="8" s="1"/>
  <c r="M66" i="8"/>
  <c r="M68" i="8"/>
  <c r="M69" i="8"/>
  <c r="M73" i="8"/>
  <c r="M77" i="8"/>
  <c r="M75" i="8"/>
  <c r="M72" i="8"/>
  <c r="M71" i="8"/>
  <c r="M74" i="8"/>
  <c r="M70" i="8"/>
  <c r="M76" i="8"/>
  <c r="M67" i="8"/>
  <c r="M38" i="8"/>
  <c r="N80" i="8" l="1"/>
  <c r="S80" i="8"/>
  <c r="N82" i="8"/>
  <c r="S82" i="8"/>
  <c r="S81" i="8"/>
  <c r="N81" i="8"/>
  <c r="N83" i="8"/>
  <c r="S83" i="8"/>
  <c r="M86" i="8"/>
  <c r="S79" i="8"/>
  <c r="N79" i="8"/>
  <c r="S85" i="8"/>
  <c r="N85" i="8"/>
  <c r="N78" i="8"/>
  <c r="S78" i="8"/>
  <c r="S38" i="8"/>
  <c r="M58" i="8"/>
  <c r="S84" i="8"/>
  <c r="N84" i="8"/>
  <c r="S40" i="8"/>
  <c r="S49" i="8"/>
  <c r="S39" i="8"/>
  <c r="S46" i="8"/>
  <c r="S45" i="8"/>
  <c r="S42" i="8"/>
  <c r="S52" i="8"/>
  <c r="N52" i="8"/>
  <c r="S57" i="8"/>
  <c r="N57" i="8"/>
  <c r="S56" i="8"/>
  <c r="N56" i="8"/>
  <c r="S41" i="8"/>
  <c r="S47" i="8"/>
  <c r="N54" i="8"/>
  <c r="S54" i="8"/>
  <c r="S48" i="8"/>
  <c r="S53" i="8"/>
  <c r="N53" i="8"/>
  <c r="S55" i="8"/>
  <c r="N55" i="8"/>
  <c r="S44" i="8"/>
  <c r="S51" i="8"/>
  <c r="N51" i="8"/>
  <c r="S43" i="8"/>
  <c r="S50" i="8"/>
  <c r="N50" i="8"/>
  <c r="M28" i="8"/>
  <c r="M24" i="8"/>
  <c r="M20" i="8"/>
  <c r="M12" i="8"/>
  <c r="M19" i="8"/>
  <c r="M18" i="8"/>
  <c r="M16" i="8"/>
  <c r="M17" i="8"/>
  <c r="M27" i="8"/>
  <c r="M13" i="8"/>
  <c r="M15" i="8"/>
  <c r="M25" i="8"/>
  <c r="M22" i="8"/>
  <c r="M23" i="8"/>
  <c r="M29" i="8"/>
  <c r="M21" i="8"/>
  <c r="M30" i="8"/>
  <c r="M31" i="8"/>
  <c r="M26" i="8"/>
  <c r="M14" i="8"/>
  <c r="S67" i="8"/>
  <c r="N67" i="8"/>
  <c r="S70" i="8"/>
  <c r="N70" i="8"/>
  <c r="S71" i="8"/>
  <c r="N71" i="8"/>
  <c r="N73" i="8"/>
  <c r="S73" i="8"/>
  <c r="N75" i="8"/>
  <c r="S75" i="8"/>
  <c r="N69" i="8"/>
  <c r="S69" i="8"/>
  <c r="S76" i="8"/>
  <c r="N76" i="8"/>
  <c r="S68" i="8"/>
  <c r="N68" i="8"/>
  <c r="N74" i="8"/>
  <c r="S74" i="8"/>
  <c r="S72" i="8"/>
  <c r="N72" i="8"/>
  <c r="S77" i="8"/>
  <c r="N77" i="8"/>
  <c r="N66" i="8"/>
  <c r="S66" i="8"/>
  <c r="N38" i="8"/>
  <c r="S86" i="8" l="1"/>
  <c r="N86" i="8"/>
  <c r="S58" i="8"/>
  <c r="N58" i="8"/>
  <c r="M32" i="8"/>
  <c r="N20" i="8"/>
  <c r="S20" i="8"/>
  <c r="N24" i="8"/>
  <c r="S24" i="8"/>
  <c r="S28" i="8"/>
  <c r="N28" i="8"/>
  <c r="N29" i="8"/>
  <c r="S29" i="8"/>
  <c r="S13" i="8"/>
  <c r="N13" i="8"/>
  <c r="N16" i="8"/>
  <c r="S16" i="8"/>
  <c r="S15" i="8"/>
  <c r="N15" i="8"/>
  <c r="N18" i="8"/>
  <c r="S18" i="8"/>
  <c r="S22" i="8"/>
  <c r="N22" i="8"/>
  <c r="N17" i="8"/>
  <c r="S17" i="8"/>
  <c r="N19" i="8"/>
  <c r="S19" i="8"/>
  <c r="S23" i="8"/>
  <c r="N23" i="8"/>
  <c r="S25" i="8"/>
  <c r="N25" i="8"/>
  <c r="S27" i="8"/>
  <c r="N27" i="8"/>
  <c r="S14" i="8"/>
  <c r="N14" i="8"/>
  <c r="N26" i="8"/>
  <c r="S26" i="8"/>
  <c r="N31" i="8"/>
  <c r="S31" i="8"/>
  <c r="N30" i="8"/>
  <c r="S30" i="8"/>
  <c r="S21" i="8"/>
  <c r="N21" i="8"/>
  <c r="N12" i="8"/>
  <c r="S12" i="8"/>
  <c r="S32" i="8" l="1"/>
  <c r="N32" i="8"/>
</calcChain>
</file>

<file path=xl/comments1.xml><?xml version="1.0" encoding="utf-8"?>
<comments xmlns="http://schemas.openxmlformats.org/spreadsheetml/2006/main">
  <authors>
    <author>financie</author>
  </authors>
  <commentList>
    <comment ref="B12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13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16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17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18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19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66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67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68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69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70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71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72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  <comment ref="B73" authorId="0">
      <text>
        <r>
          <rPr>
            <sz val="9"/>
            <color indexed="81"/>
            <rFont val="Tahoma"/>
            <family val="2"/>
            <charset val="238"/>
          </rPr>
          <t xml:space="preserve">zo študijného prgramu
</t>
        </r>
      </text>
    </comment>
  </commentList>
</comments>
</file>

<file path=xl/sharedStrings.xml><?xml version="1.0" encoding="utf-8"?>
<sst xmlns="http://schemas.openxmlformats.org/spreadsheetml/2006/main" count="374" uniqueCount="196">
  <si>
    <t>bežné výdavky dotácia 077 11</t>
  </si>
  <si>
    <t>mzdy 077 11</t>
  </si>
  <si>
    <t>TaS 077 11</t>
  </si>
  <si>
    <t>STU</t>
  </si>
  <si>
    <t>Fakulty + ÚM</t>
  </si>
  <si>
    <t>mzdy a poistné 077 11, z toho</t>
  </si>
  <si>
    <t>Pocet studentov 31.10.2018</t>
  </si>
  <si>
    <t>denni</t>
  </si>
  <si>
    <t>externi</t>
  </si>
  <si>
    <t>Ing</t>
  </si>
  <si>
    <t>PhD</t>
  </si>
  <si>
    <t>SPOLU</t>
  </si>
  <si>
    <t>koeficient</t>
  </si>
  <si>
    <t>Bc1</t>
  </si>
  <si>
    <t>Bc ostatni</t>
  </si>
  <si>
    <t>Bc 1</t>
  </si>
  <si>
    <t>Bc</t>
  </si>
  <si>
    <t>SvF</t>
  </si>
  <si>
    <t>SjF</t>
  </si>
  <si>
    <t>FEI</t>
  </si>
  <si>
    <t>FCHPT</t>
  </si>
  <si>
    <t>FA</t>
  </si>
  <si>
    <t>FIIT</t>
  </si>
  <si>
    <t>MTF</t>
  </si>
  <si>
    <t>UM</t>
  </si>
  <si>
    <t>prepocitany pocet</t>
  </si>
  <si>
    <t>týž. výmera</t>
  </si>
  <si>
    <t>P</t>
  </si>
  <si>
    <t>C</t>
  </si>
  <si>
    <t>I. stupeň</t>
  </si>
  <si>
    <t xml:space="preserve">ukončenie </t>
  </si>
  <si>
    <t>Počet študentov v 3. týždni</t>
  </si>
  <si>
    <t>s</t>
  </si>
  <si>
    <t>poistné 077 11</t>
  </si>
  <si>
    <t>Dotácia na uskutočňovanie akreditovaných študijných programov 07711</t>
  </si>
  <si>
    <t>SPOLU (kontrola)</t>
  </si>
  <si>
    <t>D_F_MP</t>
  </si>
  <si>
    <t xml:space="preserve">Položka </t>
  </si>
  <si>
    <t>Označenie</t>
  </si>
  <si>
    <t>Vzorec na  výpočet</t>
  </si>
  <si>
    <t>D_F_MP_ŠAM</t>
  </si>
  <si>
    <t>D_F_MP_ŠAM = 0,85* D_F_MP</t>
  </si>
  <si>
    <t>podiel_ŠM</t>
  </si>
  <si>
    <t>ŠM</t>
  </si>
  <si>
    <t>AM</t>
  </si>
  <si>
    <t>Počet, podiel / 1</t>
  </si>
  <si>
    <t>D_F_MP_ŠM</t>
  </si>
  <si>
    <t>D_F_TS</t>
  </si>
  <si>
    <t>D_STU_TS</t>
  </si>
  <si>
    <t>D_STU_TS_ZP</t>
  </si>
  <si>
    <t>D_STU_TS_ZG</t>
  </si>
  <si>
    <t>D_STU_TS_ŠPEC</t>
  </si>
  <si>
    <t>D_STU_TS_ŠM</t>
  </si>
  <si>
    <t>podiel_D_STU_TS_ŠM</t>
  </si>
  <si>
    <t>D_F_TS_ŠM</t>
  </si>
  <si>
    <t>podiel_D_STU_TS_ŠM = D_STU_TS_ŠM/ D_STU_TS</t>
  </si>
  <si>
    <t>D_F = D_F_MP_ŠM+ D_F_TS_ŠM</t>
  </si>
  <si>
    <t>Bc vsetci</t>
  </si>
  <si>
    <t>AIS počet študentov v ostatnych rokoch Bc. štúdia</t>
  </si>
  <si>
    <t>AIS počet študentov Ing. štúdia</t>
  </si>
  <si>
    <t>AIS počet študentov PhD. štúdia</t>
  </si>
  <si>
    <t>dotácia na študenta v 1. roku Bc. štúdia</t>
  </si>
  <si>
    <t>dotácia na študenta v ostatnych rokoch Bc. štúdia</t>
  </si>
  <si>
    <t>dotácia na študenta v Ing. štúdia</t>
  </si>
  <si>
    <t>dotácia na študenta v PhD. štúdia</t>
  </si>
  <si>
    <t>D_Bc1</t>
  </si>
  <si>
    <t>D_Bco</t>
  </si>
  <si>
    <t>dotácia na študenta v 1. roku štúdia</t>
  </si>
  <si>
    <t>D_Bc</t>
  </si>
  <si>
    <t>D_Ing</t>
  </si>
  <si>
    <t>D_PhD</t>
  </si>
  <si>
    <t>Normatív študent Bc štúdia</t>
  </si>
  <si>
    <t>Normatív študent Ing štúdia</t>
  </si>
  <si>
    <t>Normatív študent PhD štúdia</t>
  </si>
  <si>
    <t>podiel z dotácie na študenta prináležiaci zabezpečujúcej fakulte</t>
  </si>
  <si>
    <t>Koef_ZF</t>
  </si>
  <si>
    <t>hodnota kreditu v Bc. štúdiu</t>
  </si>
  <si>
    <t>hodnota kreditu v Ing. štúdiu</t>
  </si>
  <si>
    <t>hodnota kreditu v PhD. štúdiu</t>
  </si>
  <si>
    <t>Bc_kredit</t>
  </si>
  <si>
    <t>Ing_kredit</t>
  </si>
  <si>
    <t>PhD_kredit</t>
  </si>
  <si>
    <t>suma, ktorú dostane zabezpečujúca fakulta sa výučby predmeu v Bc štúdiua</t>
  </si>
  <si>
    <t xml:space="preserve"> V_ZF_Bc</t>
  </si>
  <si>
    <t>suma, ktorú dostane zabezpečujúca fakulta sa výučby predmeu v Ing štúdiu</t>
  </si>
  <si>
    <t xml:space="preserve"> V_ZF_Ing</t>
  </si>
  <si>
    <t>suma, ktorú dostane zabezpečujúca fakulta sa výučby predmeu v PhD štúdiua</t>
  </si>
  <si>
    <t xml:space="preserve"> V_ZF_PhD</t>
  </si>
  <si>
    <t>Predmet LS</t>
  </si>
  <si>
    <t>kredity</t>
  </si>
  <si>
    <t>Nová metodika</t>
  </si>
  <si>
    <t>Stará metodika</t>
  </si>
  <si>
    <t>Prednáška</t>
  </si>
  <si>
    <t>cvičenie</t>
  </si>
  <si>
    <t>skúšanie</t>
  </si>
  <si>
    <t>hodinové sadzby</t>
  </si>
  <si>
    <t>S</t>
  </si>
  <si>
    <t>počet týždňov v semestri</t>
  </si>
  <si>
    <t>Počet skupín CV</t>
  </si>
  <si>
    <t>Počet skupín P</t>
  </si>
  <si>
    <t>Počet skupín</t>
  </si>
  <si>
    <t>Suma / €</t>
  </si>
  <si>
    <t>dotácia fakúlt na mzdy a poistné</t>
  </si>
  <si>
    <t>dotácia fakúlt na tovary a služby</t>
  </si>
  <si>
    <t>dotácia fakúlt na mzdy a poistné pripadajúca na počet študentov podľa metodiky (ŠM) a absolventov podľa metodiky (AM)</t>
  </si>
  <si>
    <t>počet študentov podľa metodiky (ŠM), t.j. prepočítaný počet študentov*KO*KAP</t>
  </si>
  <si>
    <t>počet absolventov podľa metodiky (ŠM), t.j. prepočítaný počet absolventov*KO*KAP</t>
  </si>
  <si>
    <t>podiel študentov (ŠM) na počte študentov (ŠM) a absolventov (AM)</t>
  </si>
  <si>
    <t>podiel_ŠM = ŠM/(ŠM+AM)</t>
  </si>
  <si>
    <t xml:space="preserve">dotácia fakúlt STU na mzdy a poistné pripadajúca na počet študentov (ŠM) </t>
  </si>
  <si>
    <t>D_F_MP_ŠM = podiel_ŠM * D_F_MP_ŠAM</t>
  </si>
  <si>
    <t>dotácia STU na tovary a služby celkom</t>
  </si>
  <si>
    <t>dotácia STU na tovary a služby základná dotácia na prevádzku</t>
  </si>
  <si>
    <t>dotácia STU na tovary a služby podľa zahraničných grantov</t>
  </si>
  <si>
    <t>dotácia STU na tovary a služby akceptovane špecifika</t>
  </si>
  <si>
    <t>dotácia STU na tovary a služby odvodená od počtu študentov podľa metodiky</t>
  </si>
  <si>
    <t>D_STU_TS_ŠM = D_STU_TS- D_STU_TS_ZP- D_STU_TS_ZG</t>
  </si>
  <si>
    <t>podiel dotácie STU na tovary a služby určenej podľa počtu študentov na celkovej dotácii STU na tovary a služby</t>
  </si>
  <si>
    <t>D_F_TS_ŠM = podiel_D_STU_TS_ŠM* D_F_TS</t>
  </si>
  <si>
    <t xml:space="preserve">dotácia fakúlt na tovary a služby určená podľa počtu študentov D_F_TS_ŠM </t>
  </si>
  <si>
    <t xml:space="preserve">celková dotácia fakúlt určená podľa počtu študentov v metodike </t>
  </si>
  <si>
    <t>D_F_ŠM</t>
  </si>
  <si>
    <t>PŠS_Bc1</t>
  </si>
  <si>
    <t>AIS skutočný počet študentov v 1. roku Bc. štúdia</t>
  </si>
  <si>
    <t>AIS skutočný počet študentov 31.10.</t>
  </si>
  <si>
    <t>PŠS_Bco</t>
  </si>
  <si>
    <t>PŠS_Ing</t>
  </si>
  <si>
    <t>PŠS_PhD</t>
  </si>
  <si>
    <t>prepočítaný počet študentov v 1. roku Bc. štúdia pre účely smernice</t>
  </si>
  <si>
    <t>prepočítaný  počet študentov Ing. štúdia  pre účely smernice</t>
  </si>
  <si>
    <t>prepočítaný  počet študentov PhD. štúdia  pre účely smernice</t>
  </si>
  <si>
    <t>Celkový prepočítaný počet študentov   pre účely smernice</t>
  </si>
  <si>
    <t>PPŠS_Bc1</t>
  </si>
  <si>
    <t>PPŠS_Bco</t>
  </si>
  <si>
    <t>PPŠS_Ing</t>
  </si>
  <si>
    <t>PPŠS_PhD</t>
  </si>
  <si>
    <t>PPŠS_Bc1=0,7*PS_Bc1</t>
  </si>
  <si>
    <t>PPŠS_Bco=1*PS_Bco</t>
  </si>
  <si>
    <t>PPŠS_Ing=1,5*PS_Ing</t>
  </si>
  <si>
    <t>PPŠS_PhD=12/4*PS_PhD</t>
  </si>
  <si>
    <t>prepočítaný  počet študentov v ostatnych rokoch Bc. štúdia  pre účely smernice</t>
  </si>
  <si>
    <t>PPŠS</t>
  </si>
  <si>
    <t>PPŠS = PPŠS_Bc1 + PPŠS_Bco + PPŠS_Ing + PPŠS_PhD</t>
  </si>
  <si>
    <t>D_Bc = ( D_Bc1 PŠS_Bc1+ D_Bco* PŠS_Bco)/( PŠS_Bc1+ PŠS_Bco)</t>
  </si>
  <si>
    <t>D_Bc1=0,7*D_F_ŠM/PPŠS</t>
  </si>
  <si>
    <t>D_Bco=1*D_F_ŠM/PPŠS</t>
  </si>
  <si>
    <t>D_Ing=1,5*D_F_ŠM/PPS</t>
  </si>
  <si>
    <t>D_PhD=12/4*D_F_ŠM/PPS</t>
  </si>
  <si>
    <t>II. stupeň</t>
  </si>
  <si>
    <t>poznámka</t>
  </si>
  <si>
    <t>rozpočet STU</t>
  </si>
  <si>
    <t>metodika</t>
  </si>
  <si>
    <t>AIS</t>
  </si>
  <si>
    <t>smernica</t>
  </si>
  <si>
    <t>Poznámka</t>
  </si>
  <si>
    <t>odučené hodiny</t>
  </si>
  <si>
    <t>`</t>
  </si>
  <si>
    <t>Bc_kredit = koef_ZF*D_Bc</t>
  </si>
  <si>
    <t>Ing_kredit = koef_ZF*D_Ing</t>
  </si>
  <si>
    <t>PhD_kredit = koef_ZF*D_PhD</t>
  </si>
  <si>
    <t>predmet 1</t>
  </si>
  <si>
    <t>predmet 2</t>
  </si>
  <si>
    <t>predmet 3</t>
  </si>
  <si>
    <t>predmet 4</t>
  </si>
  <si>
    <t>predmet 5</t>
  </si>
  <si>
    <t>predmet 6</t>
  </si>
  <si>
    <t>predmet 7</t>
  </si>
  <si>
    <t>predmet 8</t>
  </si>
  <si>
    <t>predmet 9</t>
  </si>
  <si>
    <t>predmet 10</t>
  </si>
  <si>
    <t>predmet 11</t>
  </si>
  <si>
    <t>predmet 12</t>
  </si>
  <si>
    <t>predmet 13</t>
  </si>
  <si>
    <t>Normatív študent Bc štúdia EUR</t>
  </si>
  <si>
    <t>Normatív študent Ing štúdia EUR</t>
  </si>
  <si>
    <t>Normatív študent PhD štúdia EUR</t>
  </si>
  <si>
    <t>pocet kreditov za semester</t>
  </si>
  <si>
    <t>dotacia na 1 kredit</t>
  </si>
  <si>
    <t>Normatív študent Bc štúdia 1 kredit</t>
  </si>
  <si>
    <t>Normatív študent Ing štúdia 1 kredit</t>
  </si>
  <si>
    <t>Normatív študent PhD štúdia 1 kredit</t>
  </si>
  <si>
    <t>D8+D15</t>
  </si>
  <si>
    <t>bez TaS</t>
  </si>
  <si>
    <t>m</t>
  </si>
  <si>
    <t>III. stupeň</t>
  </si>
  <si>
    <t>s TaS</t>
  </si>
  <si>
    <t>predmet 14</t>
  </si>
  <si>
    <t>predmet 15</t>
  </si>
  <si>
    <t>predmet 16</t>
  </si>
  <si>
    <t>predmet 17</t>
  </si>
  <si>
    <t>predmet 18</t>
  </si>
  <si>
    <t>predmet 19</t>
  </si>
  <si>
    <t>predmet 20</t>
  </si>
  <si>
    <t xml:space="preserve"> V_ZF_Ing= (PŠ_predmet+10)^0,9*Kredity_predmet*Ing_kredit</t>
  </si>
  <si>
    <t xml:space="preserve"> V_ZF_PhD= (PŠ_predmet+5)^0,85*Kredity_predmet*PhD_kredit</t>
  </si>
  <si>
    <t xml:space="preserve"> V_ZF_Bc= (PŠ_predmet+20)^0,95*Kredity_predmet*Bc_kredit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</si>
</sst>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3" fontId="0" fillId="0" borderId="0" xfId="0" applyNumberFormat="1"/>
    <xf numFmtId="0" fontId="2" fillId="0" borderId="0" xfId="0" applyFont="1"/>
    <xf numFmtId="0" fontId="4" fillId="0" borderId="0" xfId="0" applyFont="1"/>
    <xf numFmtId="1" fontId="4" fillId="0" borderId="0" xfId="0" applyNumberFormat="1" applyFont="1"/>
    <xf numFmtId="3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0" fontId="7" fillId="3" borderId="1" xfId="0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Fill="1"/>
    <xf numFmtId="0" fontId="5" fillId="0" borderId="1" xfId="0" applyFont="1" applyBorder="1"/>
    <xf numFmtId="0" fontId="5" fillId="0" borderId="1" xfId="0" applyFont="1" applyFill="1" applyBorder="1"/>
    <xf numFmtId="3" fontId="4" fillId="0" borderId="1" xfId="0" applyNumberFormat="1" applyFont="1" applyBorder="1"/>
    <xf numFmtId="1" fontId="4" fillId="0" borderId="1" xfId="0" applyNumberFormat="1" applyFont="1" applyBorder="1"/>
    <xf numFmtId="1" fontId="6" fillId="0" borderId="1" xfId="0" applyNumberFormat="1" applyFont="1" applyFill="1" applyBorder="1" applyAlignment="1">
      <alignment vertical="center"/>
    </xf>
    <xf numFmtId="0" fontId="4" fillId="0" borderId="1" xfId="0" applyFont="1" applyBorder="1"/>
    <xf numFmtId="3" fontId="5" fillId="0" borderId="1" xfId="0" applyNumberFormat="1" applyFont="1" applyBorder="1"/>
    <xf numFmtId="1" fontId="5" fillId="0" borderId="1" xfId="0" applyNumberFormat="1" applyFont="1" applyBorder="1"/>
    <xf numFmtId="1" fontId="11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0" fillId="0" borderId="1" xfId="0" applyBorder="1"/>
    <xf numFmtId="1" fontId="10" fillId="0" borderId="1" xfId="0" applyNumberFormat="1" applyFont="1" applyFill="1" applyBorder="1"/>
    <xf numFmtId="1" fontId="1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0" xfId="0" applyFont="1"/>
    <xf numFmtId="3" fontId="0" fillId="0" borderId="0" xfId="0" applyNumberFormat="1" applyFont="1"/>
    <xf numFmtId="2" fontId="0" fillId="0" borderId="0" xfId="0" applyNumberFormat="1" applyFont="1"/>
    <xf numFmtId="0" fontId="12" fillId="0" borderId="0" xfId="0" applyFont="1"/>
    <xf numFmtId="3" fontId="12" fillId="0" borderId="0" xfId="0" applyNumberFormat="1" applyFont="1"/>
    <xf numFmtId="2" fontId="12" fillId="0" borderId="0" xfId="0" applyNumberFormat="1" applyFont="1"/>
    <xf numFmtId="1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0" fontId="0" fillId="4" borderId="1" xfId="0" applyFill="1" applyBorder="1"/>
    <xf numFmtId="0" fontId="12" fillId="2" borderId="1" xfId="0" applyFont="1" applyFill="1" applyBorder="1"/>
    <xf numFmtId="2" fontId="0" fillId="0" borderId="1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/>
    <xf numFmtId="0" fontId="0" fillId="0" borderId="0" xfId="0" applyFill="1"/>
    <xf numFmtId="0" fontId="7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ill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2" fontId="13" fillId="0" borderId="1" xfId="0" applyNumberFormat="1" applyFont="1" applyFill="1" applyBorder="1"/>
    <xf numFmtId="0" fontId="1" fillId="0" borderId="1" xfId="0" applyFont="1" applyFill="1" applyBorder="1"/>
    <xf numFmtId="49" fontId="8" fillId="0" borderId="0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0" fillId="5" borderId="0" xfId="0" applyFill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2" fillId="4" borderId="1" xfId="0" applyFont="1" applyFill="1" applyBorder="1"/>
    <xf numFmtId="0" fontId="13" fillId="4" borderId="1" xfId="0" applyFont="1" applyFill="1" applyBorder="1"/>
    <xf numFmtId="2" fontId="13" fillId="0" borderId="1" xfId="0" applyNumberFormat="1" applyFont="1" applyBorder="1"/>
    <xf numFmtId="49" fontId="8" fillId="6" borderId="1" xfId="0" applyNumberFormat="1" applyFont="1" applyFill="1" applyBorder="1"/>
    <xf numFmtId="0" fontId="8" fillId="6" borderId="1" xfId="0" applyFont="1" applyFill="1" applyBorder="1" applyAlignment="1">
      <alignment horizontal="center"/>
    </xf>
    <xf numFmtId="2" fontId="13" fillId="6" borderId="1" xfId="0" applyNumberFormat="1" applyFont="1" applyFill="1" applyBorder="1"/>
    <xf numFmtId="0" fontId="0" fillId="6" borderId="1" xfId="0" applyFill="1" applyBorder="1"/>
    <xf numFmtId="0" fontId="1" fillId="6" borderId="1" xfId="0" applyFont="1" applyFill="1" applyBorder="1"/>
    <xf numFmtId="2" fontId="0" fillId="6" borderId="0" xfId="0" applyNumberFormat="1" applyFill="1"/>
    <xf numFmtId="0" fontId="0" fillId="6" borderId="0" xfId="0" applyFill="1"/>
    <xf numFmtId="2" fontId="0" fillId="6" borderId="1" xfId="0" applyNumberFormat="1" applyFill="1" applyBorder="1"/>
    <xf numFmtId="0" fontId="14" fillId="2" borderId="0" xfId="0" applyFont="1" applyFill="1"/>
    <xf numFmtId="3" fontId="7" fillId="3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5" sqref="A15"/>
    </sheetView>
  </sheetViews>
  <sheetFormatPr defaultRowHeight="15" x14ac:dyDescent="0.25"/>
  <cols>
    <col min="1" max="1" width="69.140625" bestFit="1" customWidth="1"/>
    <col min="2" max="2" width="9.85546875" bestFit="1" customWidth="1"/>
    <col min="3" max="3" width="11.5703125" style="14" bestFit="1" customWidth="1"/>
    <col min="10" max="10" width="10.140625" bestFit="1" customWidth="1"/>
  </cols>
  <sheetData>
    <row r="1" spans="1:3" x14ac:dyDescent="0.25">
      <c r="A1" s="15" t="s">
        <v>34</v>
      </c>
      <c r="B1" s="15" t="s">
        <v>3</v>
      </c>
      <c r="C1" s="16" t="s">
        <v>4</v>
      </c>
    </row>
    <row r="2" spans="1:3" x14ac:dyDescent="0.25">
      <c r="A2" s="21" t="s">
        <v>0</v>
      </c>
      <c r="B2" s="22">
        <v>37953044</v>
      </c>
      <c r="C2" s="23">
        <v>34360513</v>
      </c>
    </row>
    <row r="3" spans="1:3" ht="14.45" x14ac:dyDescent="0.35">
      <c r="A3" s="17"/>
      <c r="B3" s="18"/>
      <c r="C3" s="19"/>
    </row>
    <row r="4" spans="1:3" x14ac:dyDescent="0.25">
      <c r="A4" s="15" t="s">
        <v>5</v>
      </c>
      <c r="B4" s="22">
        <v>31868307</v>
      </c>
      <c r="C4" s="26">
        <v>29639580</v>
      </c>
    </row>
    <row r="5" spans="1:3" ht="14.45" x14ac:dyDescent="0.35">
      <c r="A5" s="20" t="s">
        <v>1</v>
      </c>
      <c r="B5" s="18">
        <v>23571233</v>
      </c>
      <c r="C5" s="19">
        <v>21922766</v>
      </c>
    </row>
    <row r="6" spans="1:3" x14ac:dyDescent="0.25">
      <c r="A6" s="20" t="s">
        <v>33</v>
      </c>
      <c r="B6" s="18">
        <v>8297074</v>
      </c>
      <c r="C6" s="19">
        <v>7716814</v>
      </c>
    </row>
    <row r="7" spans="1:3" ht="14.45" x14ac:dyDescent="0.35">
      <c r="A7" s="20"/>
      <c r="B7" s="18"/>
      <c r="C7" s="19"/>
    </row>
    <row r="8" spans="1:3" ht="14.45" x14ac:dyDescent="0.35">
      <c r="A8" s="15" t="s">
        <v>2</v>
      </c>
      <c r="B8" s="22">
        <v>6084737</v>
      </c>
      <c r="C8" s="27">
        <v>4720933</v>
      </c>
    </row>
    <row r="9" spans="1:3" ht="14.45" x14ac:dyDescent="0.35">
      <c r="A9" s="20" t="s">
        <v>35</v>
      </c>
      <c r="B9" s="18">
        <f>B4+B8</f>
        <v>37953044</v>
      </c>
      <c r="C9" s="18">
        <f>C4+C8</f>
        <v>34360513</v>
      </c>
    </row>
    <row r="10" spans="1:3" ht="14.45" x14ac:dyDescent="0.35">
      <c r="A10" s="3"/>
      <c r="B10" s="4"/>
      <c r="C10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12" sqref="F12:G12"/>
    </sheetView>
  </sheetViews>
  <sheetFormatPr defaultRowHeight="15" x14ac:dyDescent="0.25"/>
  <cols>
    <col min="4" max="4" width="15.85546875" bestFit="1" customWidth="1"/>
    <col min="8" max="8" width="15.85546875" bestFit="1" customWidth="1"/>
  </cols>
  <sheetData>
    <row r="1" spans="1:10" x14ac:dyDescent="0.35">
      <c r="A1" t="s">
        <v>6</v>
      </c>
    </row>
    <row r="2" spans="1:10" x14ac:dyDescent="0.35">
      <c r="B2" s="6" t="s">
        <v>7</v>
      </c>
      <c r="C2" s="36" t="s">
        <v>12</v>
      </c>
      <c r="D2" s="36" t="s">
        <v>25</v>
      </c>
      <c r="E2" s="6" t="s">
        <v>8</v>
      </c>
      <c r="F2" s="39" t="s">
        <v>11</v>
      </c>
      <c r="G2" t="s">
        <v>12</v>
      </c>
      <c r="H2" s="39" t="s">
        <v>25</v>
      </c>
    </row>
    <row r="3" spans="1:10" x14ac:dyDescent="0.35">
      <c r="A3" t="s">
        <v>16</v>
      </c>
      <c r="B3" s="5">
        <v>6923</v>
      </c>
      <c r="C3" s="37"/>
      <c r="D3" s="37"/>
      <c r="E3" s="6">
        <v>0</v>
      </c>
      <c r="F3" s="40">
        <f>B3+E3</f>
        <v>6923</v>
      </c>
      <c r="G3" s="5"/>
      <c r="H3" s="40"/>
    </row>
    <row r="4" spans="1:10" x14ac:dyDescent="0.35">
      <c r="A4" t="s">
        <v>15</v>
      </c>
      <c r="B4" s="5">
        <f>B20</f>
        <v>2839</v>
      </c>
      <c r="C4" s="38">
        <v>0.7</v>
      </c>
      <c r="D4" s="38">
        <f>B4*C4</f>
        <v>1987.3</v>
      </c>
      <c r="E4" s="6">
        <v>0</v>
      </c>
      <c r="F4" s="40">
        <f t="shared" ref="F4:F5" si="0">B4+E4</f>
        <v>2839</v>
      </c>
      <c r="G4" s="7">
        <v>0.7</v>
      </c>
      <c r="H4" s="41">
        <f>F4*G4</f>
        <v>1987.3</v>
      </c>
    </row>
    <row r="5" spans="1:10" x14ac:dyDescent="0.35">
      <c r="A5" t="s">
        <v>14</v>
      </c>
      <c r="B5" s="5">
        <f>B3-B4</f>
        <v>4084</v>
      </c>
      <c r="C5" s="38">
        <v>1</v>
      </c>
      <c r="D5" s="38">
        <f t="shared" ref="D5:D7" si="1">B5*C5</f>
        <v>4084</v>
      </c>
      <c r="E5" s="6">
        <v>0</v>
      </c>
      <c r="F5" s="40">
        <f t="shared" si="0"/>
        <v>4084</v>
      </c>
      <c r="G5" s="7">
        <v>1</v>
      </c>
      <c r="H5" s="41">
        <f>F5*G5</f>
        <v>4084</v>
      </c>
    </row>
    <row r="6" spans="1:10" x14ac:dyDescent="0.35">
      <c r="A6" t="s">
        <v>9</v>
      </c>
      <c r="B6" s="5">
        <v>3430</v>
      </c>
      <c r="C6" s="38">
        <v>1.5</v>
      </c>
      <c r="D6" s="38">
        <f t="shared" si="1"/>
        <v>5145</v>
      </c>
      <c r="E6" s="6">
        <v>0</v>
      </c>
      <c r="F6" s="40">
        <f>B6+E6</f>
        <v>3430</v>
      </c>
      <c r="G6" s="7">
        <v>1.5</v>
      </c>
      <c r="H6" s="41">
        <f>F6*G6</f>
        <v>5145</v>
      </c>
    </row>
    <row r="7" spans="1:10" x14ac:dyDescent="0.35">
      <c r="A7" t="s">
        <v>10</v>
      </c>
      <c r="B7" s="6">
        <v>578</v>
      </c>
      <c r="C7" s="38">
        <f>12/3.5</f>
        <v>3.4285714285714284</v>
      </c>
      <c r="D7" s="38">
        <f t="shared" si="1"/>
        <v>1981.7142857142856</v>
      </c>
      <c r="E7" s="6">
        <v>204</v>
      </c>
      <c r="F7" s="40">
        <f>B7+E7</f>
        <v>782</v>
      </c>
      <c r="G7" s="7">
        <f>12/4</f>
        <v>3</v>
      </c>
      <c r="H7" s="41">
        <f>F7*G7</f>
        <v>2346</v>
      </c>
    </row>
    <row r="8" spans="1:10" x14ac:dyDescent="0.35">
      <c r="A8" t="s">
        <v>11</v>
      </c>
      <c r="B8" s="5">
        <f>B3+B6+B7</f>
        <v>10931</v>
      </c>
      <c r="C8" s="37"/>
      <c r="D8" s="37">
        <f>SUM(D4:D7)</f>
        <v>13198.014285714286</v>
      </c>
      <c r="E8" s="5">
        <f>E3+E6+E7</f>
        <v>204</v>
      </c>
      <c r="F8" s="40">
        <f>F3+F6+F7</f>
        <v>11135</v>
      </c>
      <c r="G8" s="5"/>
      <c r="H8" s="40">
        <f>SUM(H4:H7)</f>
        <v>13562.3</v>
      </c>
      <c r="J8" s="1"/>
    </row>
    <row r="11" spans="1:10" x14ac:dyDescent="0.35">
      <c r="A11" t="s">
        <v>13</v>
      </c>
      <c r="B11" t="s">
        <v>13</v>
      </c>
      <c r="C11" t="s">
        <v>57</v>
      </c>
      <c r="D11" t="s">
        <v>14</v>
      </c>
    </row>
    <row r="12" spans="1:10" x14ac:dyDescent="0.35">
      <c r="A12" t="s">
        <v>17</v>
      </c>
      <c r="B12">
        <v>481</v>
      </c>
      <c r="C12">
        <v>1384</v>
      </c>
      <c r="D12">
        <f>C12-B12</f>
        <v>903</v>
      </c>
    </row>
    <row r="13" spans="1:10" x14ac:dyDescent="0.35">
      <c r="A13" t="s">
        <v>18</v>
      </c>
      <c r="B13">
        <v>229</v>
      </c>
      <c r="C13">
        <v>501</v>
      </c>
      <c r="D13">
        <f t="shared" ref="D13:D20" si="2">C13-B13</f>
        <v>272</v>
      </c>
    </row>
    <row r="14" spans="1:10" x14ac:dyDescent="0.35">
      <c r="A14" t="s">
        <v>19</v>
      </c>
      <c r="B14">
        <v>715</v>
      </c>
      <c r="C14">
        <v>1567</v>
      </c>
      <c r="D14">
        <f t="shared" si="2"/>
        <v>852</v>
      </c>
    </row>
    <row r="15" spans="1:10" x14ac:dyDescent="0.35">
      <c r="A15" t="s">
        <v>20</v>
      </c>
      <c r="B15">
        <v>410</v>
      </c>
      <c r="C15">
        <v>853</v>
      </c>
      <c r="D15">
        <f t="shared" si="2"/>
        <v>443</v>
      </c>
    </row>
    <row r="16" spans="1:10" x14ac:dyDescent="0.35">
      <c r="A16" t="s">
        <v>21</v>
      </c>
      <c r="B16">
        <v>165</v>
      </c>
      <c r="C16">
        <v>565</v>
      </c>
      <c r="D16">
        <f t="shared" si="2"/>
        <v>400</v>
      </c>
    </row>
    <row r="17" spans="1:4" x14ac:dyDescent="0.35">
      <c r="A17" t="s">
        <v>23</v>
      </c>
      <c r="B17">
        <v>438</v>
      </c>
      <c r="C17">
        <v>1134</v>
      </c>
      <c r="D17">
        <f t="shared" si="2"/>
        <v>696</v>
      </c>
    </row>
    <row r="18" spans="1:4" x14ac:dyDescent="0.35">
      <c r="A18" t="s">
        <v>22</v>
      </c>
      <c r="B18">
        <v>370</v>
      </c>
      <c r="C18">
        <v>826</v>
      </c>
      <c r="D18">
        <f t="shared" si="2"/>
        <v>456</v>
      </c>
    </row>
    <row r="19" spans="1:4" x14ac:dyDescent="0.35">
      <c r="A19" t="s">
        <v>24</v>
      </c>
      <c r="B19">
        <v>31</v>
      </c>
      <c r="C19">
        <v>85</v>
      </c>
      <c r="D19">
        <f t="shared" si="2"/>
        <v>54</v>
      </c>
    </row>
    <row r="20" spans="1:4" x14ac:dyDescent="0.35">
      <c r="B20">
        <f t="shared" ref="B20:C20" si="3">SUM(B11:B19)</f>
        <v>2839</v>
      </c>
      <c r="C20">
        <f t="shared" si="3"/>
        <v>6915</v>
      </c>
      <c r="D20">
        <f t="shared" si="2"/>
        <v>4076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G16" sqref="G16"/>
    </sheetView>
  </sheetViews>
  <sheetFormatPr defaultRowHeight="15" x14ac:dyDescent="0.25"/>
  <cols>
    <col min="1" max="1" width="57.42578125" style="13" customWidth="1"/>
    <col min="2" max="2" width="19.140625" bestFit="1" customWidth="1"/>
    <col min="3" max="3" width="54.85546875" bestFit="1" customWidth="1"/>
    <col min="4" max="4" width="11" style="32" bestFit="1" customWidth="1"/>
    <col min="5" max="5" width="14.42578125" style="32" bestFit="1" customWidth="1"/>
    <col min="6" max="6" width="11.85546875" bestFit="1" customWidth="1"/>
  </cols>
  <sheetData>
    <row r="1" spans="1:10" x14ac:dyDescent="0.25">
      <c r="A1" s="33" t="s">
        <v>37</v>
      </c>
      <c r="B1" s="34" t="s">
        <v>38</v>
      </c>
      <c r="C1" s="34" t="s">
        <v>39</v>
      </c>
      <c r="D1" s="34" t="s">
        <v>101</v>
      </c>
      <c r="E1" s="34" t="s">
        <v>45</v>
      </c>
      <c r="F1" s="50" t="s">
        <v>149</v>
      </c>
    </row>
    <row r="2" spans="1:10" x14ac:dyDescent="0.25">
      <c r="A2" s="28" t="s">
        <v>102</v>
      </c>
      <c r="B2" s="29" t="s">
        <v>36</v>
      </c>
      <c r="C2" s="29"/>
      <c r="D2" s="42">
        <f>'dotacia STU fakulty 2020'!C4</f>
        <v>29639580</v>
      </c>
      <c r="E2" s="30"/>
      <c r="F2" s="25" t="s">
        <v>150</v>
      </c>
    </row>
    <row r="3" spans="1:10" x14ac:dyDescent="0.25">
      <c r="A3" s="28" t="s">
        <v>103</v>
      </c>
      <c r="B3" s="29" t="s">
        <v>47</v>
      </c>
      <c r="C3" s="29"/>
      <c r="D3" s="42">
        <v>4720933</v>
      </c>
      <c r="E3" s="30"/>
      <c r="F3" s="25" t="s">
        <v>150</v>
      </c>
      <c r="G3">
        <v>4720933</v>
      </c>
    </row>
    <row r="4" spans="1:10" ht="45" x14ac:dyDescent="0.25">
      <c r="A4" s="28" t="s">
        <v>104</v>
      </c>
      <c r="B4" s="29" t="s">
        <v>40</v>
      </c>
      <c r="C4" s="29" t="s">
        <v>41</v>
      </c>
      <c r="D4" s="30">
        <f>ROUND(0.85*D2,0)</f>
        <v>25193643</v>
      </c>
      <c r="E4" s="30"/>
      <c r="F4" s="25"/>
    </row>
    <row r="5" spans="1:10" ht="30" x14ac:dyDescent="0.25">
      <c r="A5" s="28" t="s">
        <v>105</v>
      </c>
      <c r="B5" s="29" t="s">
        <v>43</v>
      </c>
      <c r="C5" s="29"/>
      <c r="D5" s="30"/>
      <c r="E5" s="43">
        <v>17810</v>
      </c>
      <c r="F5" s="25" t="s">
        <v>151</v>
      </c>
    </row>
    <row r="6" spans="1:10" ht="30" x14ac:dyDescent="0.25">
      <c r="A6" s="28" t="s">
        <v>106</v>
      </c>
      <c r="B6" s="29" t="s">
        <v>44</v>
      </c>
      <c r="C6" s="29"/>
      <c r="D6" s="30"/>
      <c r="E6" s="43">
        <v>4143</v>
      </c>
      <c r="F6" s="25" t="s">
        <v>151</v>
      </c>
    </row>
    <row r="7" spans="1:10" ht="30" x14ac:dyDescent="0.25">
      <c r="A7" s="28" t="s">
        <v>107</v>
      </c>
      <c r="B7" s="29" t="s">
        <v>42</v>
      </c>
      <c r="C7" s="29" t="s">
        <v>108</v>
      </c>
      <c r="D7" s="30"/>
      <c r="E7" s="35">
        <f>ROUND(E5/(E5+E6),3)</f>
        <v>0.81100000000000005</v>
      </c>
      <c r="F7" s="25"/>
    </row>
    <row r="8" spans="1:10" ht="30" x14ac:dyDescent="0.25">
      <c r="A8" s="28" t="s">
        <v>109</v>
      </c>
      <c r="B8" s="29" t="s">
        <v>46</v>
      </c>
      <c r="C8" s="29" t="s">
        <v>110</v>
      </c>
      <c r="D8" s="30">
        <f>ROUND(E7*D4,0)</f>
        <v>20432044</v>
      </c>
      <c r="E8" s="30"/>
      <c r="F8" s="25"/>
    </row>
    <row r="9" spans="1:10" x14ac:dyDescent="0.25">
      <c r="A9" s="28" t="s">
        <v>111</v>
      </c>
      <c r="B9" s="29" t="s">
        <v>48</v>
      </c>
      <c r="C9" s="29"/>
      <c r="D9" s="42">
        <f>'dotacia STU fakulty 2020'!B8</f>
        <v>6084737</v>
      </c>
      <c r="E9" s="30"/>
      <c r="F9" s="25" t="s">
        <v>151</v>
      </c>
      <c r="G9">
        <v>6084737</v>
      </c>
    </row>
    <row r="10" spans="1:10" x14ac:dyDescent="0.25">
      <c r="A10" s="28" t="s">
        <v>112</v>
      </c>
      <c r="B10" s="29" t="s">
        <v>49</v>
      </c>
      <c r="C10" s="29"/>
      <c r="D10" s="43">
        <v>100000</v>
      </c>
      <c r="E10" s="30"/>
      <c r="F10" s="25" t="s">
        <v>151</v>
      </c>
      <c r="G10">
        <v>100000</v>
      </c>
    </row>
    <row r="11" spans="1:10" x14ac:dyDescent="0.25">
      <c r="A11" s="28" t="s">
        <v>113</v>
      </c>
      <c r="B11" s="29" t="s">
        <v>50</v>
      </c>
      <c r="C11" s="29"/>
      <c r="D11" s="43">
        <v>157643</v>
      </c>
      <c r="E11" s="30"/>
      <c r="F11" s="25" t="s">
        <v>151</v>
      </c>
      <c r="G11">
        <v>157643</v>
      </c>
    </row>
    <row r="12" spans="1:10" x14ac:dyDescent="0.25">
      <c r="A12" s="28" t="s">
        <v>114</v>
      </c>
      <c r="B12" s="29" t="s">
        <v>51</v>
      </c>
      <c r="C12" s="29"/>
      <c r="D12" s="43">
        <v>93566</v>
      </c>
      <c r="E12" s="30"/>
      <c r="F12" s="25" t="s">
        <v>151</v>
      </c>
      <c r="G12">
        <v>93566</v>
      </c>
    </row>
    <row r="13" spans="1:10" ht="30" x14ac:dyDescent="0.25">
      <c r="A13" s="28" t="s">
        <v>115</v>
      </c>
      <c r="B13" s="29" t="s">
        <v>52</v>
      </c>
      <c r="C13" s="29" t="s">
        <v>116</v>
      </c>
      <c r="D13" s="31">
        <f>D9-D10-D11-D12</f>
        <v>5733528</v>
      </c>
      <c r="E13" s="30"/>
      <c r="F13" s="25"/>
    </row>
    <row r="14" spans="1:10" ht="30" x14ac:dyDescent="0.25">
      <c r="A14" s="28" t="s">
        <v>117</v>
      </c>
      <c r="B14" s="29" t="s">
        <v>53</v>
      </c>
      <c r="C14" s="29" t="s">
        <v>55</v>
      </c>
      <c r="D14" s="30"/>
      <c r="E14" s="35">
        <f>ROUND(D13/D9,3)</f>
        <v>0.94199999999999995</v>
      </c>
      <c r="F14" s="25"/>
    </row>
    <row r="15" spans="1:10" ht="30" x14ac:dyDescent="0.25">
      <c r="A15" s="28" t="s">
        <v>119</v>
      </c>
      <c r="B15" s="29" t="s">
        <v>54</v>
      </c>
      <c r="C15" s="29" t="s">
        <v>118</v>
      </c>
      <c r="D15" s="30">
        <f>ROUND(E14*D3,0)</f>
        <v>4447119</v>
      </c>
      <c r="E15" s="30"/>
      <c r="F15" s="25"/>
    </row>
    <row r="16" spans="1:10" ht="30" x14ac:dyDescent="0.25">
      <c r="A16" s="28" t="s">
        <v>120</v>
      </c>
      <c r="B16" s="29" t="s">
        <v>121</v>
      </c>
      <c r="C16" s="29" t="s">
        <v>56</v>
      </c>
      <c r="D16" s="61">
        <f>D8</f>
        <v>20432044</v>
      </c>
      <c r="E16" s="78"/>
      <c r="F16" s="48"/>
      <c r="G16" s="39" t="s">
        <v>182</v>
      </c>
      <c r="I16" s="75" t="s">
        <v>181</v>
      </c>
      <c r="J16" s="75" t="s">
        <v>185</v>
      </c>
    </row>
    <row r="17" spans="1:6" ht="14.45" x14ac:dyDescent="0.35">
      <c r="A17" s="28"/>
      <c r="B17" s="29"/>
      <c r="C17" s="29"/>
      <c r="D17" s="30"/>
      <c r="E17" s="30"/>
      <c r="F17" s="25"/>
    </row>
    <row r="18" spans="1:6" x14ac:dyDescent="0.25">
      <c r="A18" s="28" t="s">
        <v>124</v>
      </c>
      <c r="B18" s="29"/>
      <c r="C18" s="29"/>
      <c r="D18" s="30"/>
      <c r="E18" s="44">
        <f>'AIS pocet studentov 31.10.'!F8</f>
        <v>11135</v>
      </c>
      <c r="F18" s="25" t="s">
        <v>152</v>
      </c>
    </row>
    <row r="19" spans="1:6" x14ac:dyDescent="0.25">
      <c r="A19" s="28" t="s">
        <v>123</v>
      </c>
      <c r="B19" s="29" t="s">
        <v>122</v>
      </c>
      <c r="C19" s="29"/>
      <c r="D19" s="30"/>
      <c r="E19" s="44">
        <f>'AIS pocet studentov 31.10.'!F4</f>
        <v>2839</v>
      </c>
      <c r="F19" s="25" t="s">
        <v>152</v>
      </c>
    </row>
    <row r="20" spans="1:6" x14ac:dyDescent="0.25">
      <c r="A20" s="28" t="s">
        <v>58</v>
      </c>
      <c r="B20" s="29" t="s">
        <v>125</v>
      </c>
      <c r="C20" s="29"/>
      <c r="D20" s="30"/>
      <c r="E20" s="44">
        <f>'AIS pocet studentov 31.10.'!F5</f>
        <v>4084</v>
      </c>
      <c r="F20" s="25" t="s">
        <v>152</v>
      </c>
    </row>
    <row r="21" spans="1:6" x14ac:dyDescent="0.25">
      <c r="A21" s="28" t="s">
        <v>59</v>
      </c>
      <c r="B21" s="29" t="s">
        <v>126</v>
      </c>
      <c r="C21" s="29"/>
      <c r="D21" s="30"/>
      <c r="E21" s="44">
        <f>'AIS pocet studentov 31.10.'!F6</f>
        <v>3430</v>
      </c>
      <c r="F21" s="25" t="s">
        <v>152</v>
      </c>
    </row>
    <row r="22" spans="1:6" x14ac:dyDescent="0.25">
      <c r="A22" s="28" t="s">
        <v>60</v>
      </c>
      <c r="B22" s="29" t="s">
        <v>127</v>
      </c>
      <c r="C22" s="29"/>
      <c r="D22" s="30"/>
      <c r="E22" s="44">
        <f>'AIS pocet studentov 31.10.'!F7</f>
        <v>782</v>
      </c>
      <c r="F22" s="25" t="s">
        <v>152</v>
      </c>
    </row>
    <row r="23" spans="1:6" ht="30" x14ac:dyDescent="0.25">
      <c r="A23" s="28" t="s">
        <v>128</v>
      </c>
      <c r="B23" s="29" t="s">
        <v>132</v>
      </c>
      <c r="C23" s="29" t="s">
        <v>136</v>
      </c>
      <c r="D23" s="30"/>
      <c r="E23" s="30">
        <f>ROUND(0.7*E19,0)</f>
        <v>1987</v>
      </c>
      <c r="F23" s="25"/>
    </row>
    <row r="24" spans="1:6" ht="30" x14ac:dyDescent="0.25">
      <c r="A24" s="28" t="s">
        <v>140</v>
      </c>
      <c r="B24" s="29" t="s">
        <v>133</v>
      </c>
      <c r="C24" s="29" t="s">
        <v>137</v>
      </c>
      <c r="D24" s="30"/>
      <c r="E24" s="30">
        <f>1*E20</f>
        <v>4084</v>
      </c>
      <c r="F24" s="25"/>
    </row>
    <row r="25" spans="1:6" x14ac:dyDescent="0.25">
      <c r="A25" s="28" t="s">
        <v>129</v>
      </c>
      <c r="B25" s="29" t="s">
        <v>134</v>
      </c>
      <c r="C25" s="29" t="s">
        <v>138</v>
      </c>
      <c r="D25" s="30"/>
      <c r="E25" s="30">
        <f>1.5*E21</f>
        <v>5145</v>
      </c>
      <c r="F25" s="25"/>
    </row>
    <row r="26" spans="1:6" x14ac:dyDescent="0.25">
      <c r="A26" s="28" t="s">
        <v>130</v>
      </c>
      <c r="B26" s="29" t="s">
        <v>135</v>
      </c>
      <c r="C26" s="29" t="s">
        <v>139</v>
      </c>
      <c r="D26" s="30"/>
      <c r="E26" s="30">
        <f>12/4*E22</f>
        <v>2346</v>
      </c>
      <c r="F26" s="25"/>
    </row>
    <row r="27" spans="1:6" x14ac:dyDescent="0.25">
      <c r="A27" s="28" t="s">
        <v>131</v>
      </c>
      <c r="B27" s="29" t="s">
        <v>141</v>
      </c>
      <c r="C27" s="29" t="s">
        <v>142</v>
      </c>
      <c r="D27" s="30"/>
      <c r="E27" s="30">
        <f>E23+E24+E25+E26</f>
        <v>13562</v>
      </c>
      <c r="F27" s="25"/>
    </row>
    <row r="28" spans="1:6" ht="14.45" x14ac:dyDescent="0.35">
      <c r="A28" s="28"/>
      <c r="B28" s="29"/>
      <c r="C28" s="29"/>
      <c r="D28" s="30"/>
      <c r="E28" s="30"/>
      <c r="F28" s="25"/>
    </row>
    <row r="29" spans="1:6" x14ac:dyDescent="0.25">
      <c r="A29" s="56" t="s">
        <v>61</v>
      </c>
      <c r="B29" s="57" t="s">
        <v>65</v>
      </c>
      <c r="C29" s="57" t="s">
        <v>144</v>
      </c>
      <c r="D29" s="58">
        <f>ROUND(0.7*D16/E27,2)</f>
        <v>1054.5999999999999</v>
      </c>
      <c r="E29" s="30"/>
      <c r="F29" s="25"/>
    </row>
    <row r="30" spans="1:6" x14ac:dyDescent="0.25">
      <c r="A30" s="56" t="s">
        <v>62</v>
      </c>
      <c r="B30" s="57" t="s">
        <v>66</v>
      </c>
      <c r="C30" s="57" t="s">
        <v>145</v>
      </c>
      <c r="D30" s="58">
        <f>ROUND(1*D16/E27,2)</f>
        <v>1506.57</v>
      </c>
      <c r="E30" s="30"/>
      <c r="F30" s="25"/>
    </row>
    <row r="31" spans="1:6" x14ac:dyDescent="0.25">
      <c r="A31" s="56" t="s">
        <v>67</v>
      </c>
      <c r="B31" s="57" t="s">
        <v>68</v>
      </c>
      <c r="C31" s="57" t="s">
        <v>143</v>
      </c>
      <c r="D31" s="58">
        <f>ROUND((D29*E19+D30*E20)/(E19+E20),0)</f>
        <v>1321</v>
      </c>
      <c r="E31" s="30"/>
      <c r="F31" s="25"/>
    </row>
    <row r="32" spans="1:6" x14ac:dyDescent="0.25">
      <c r="A32" s="56" t="s">
        <v>63</v>
      </c>
      <c r="B32" s="57" t="s">
        <v>69</v>
      </c>
      <c r="C32" s="57" t="s">
        <v>146</v>
      </c>
      <c r="D32" s="58">
        <f>ROUND(1.5*D16/E27,0)</f>
        <v>2260</v>
      </c>
      <c r="E32" s="30"/>
      <c r="F32" s="25"/>
    </row>
    <row r="33" spans="1:9" ht="14.1" customHeight="1" x14ac:dyDescent="0.25">
      <c r="A33" s="56" t="s">
        <v>64</v>
      </c>
      <c r="B33" s="57" t="s">
        <v>70</v>
      </c>
      <c r="C33" s="57" t="s">
        <v>147</v>
      </c>
      <c r="D33" s="58">
        <f>ROUND(12/4*D16/E27,0)</f>
        <v>4520</v>
      </c>
      <c r="E33" s="30"/>
      <c r="F33" s="25"/>
    </row>
    <row r="34" spans="1:9" ht="14.45" x14ac:dyDescent="0.35">
      <c r="A34" s="28"/>
      <c r="B34" s="29"/>
      <c r="C34" s="29"/>
      <c r="D34" s="30"/>
      <c r="E34" s="30"/>
      <c r="F34" s="25"/>
    </row>
    <row r="35" spans="1:9" x14ac:dyDescent="0.25">
      <c r="A35" s="52" t="s">
        <v>173</v>
      </c>
      <c r="B35" s="53" t="s">
        <v>68</v>
      </c>
      <c r="C35" s="53"/>
      <c r="D35" s="54">
        <f>ROUND(D31,0)</f>
        <v>1321</v>
      </c>
      <c r="E35" s="30"/>
      <c r="F35" s="25"/>
      <c r="I35" t="s">
        <v>156</v>
      </c>
    </row>
    <row r="36" spans="1:9" x14ac:dyDescent="0.25">
      <c r="A36" s="52" t="s">
        <v>174</v>
      </c>
      <c r="B36" s="53" t="s">
        <v>69</v>
      </c>
      <c r="C36" s="53"/>
      <c r="D36" s="54">
        <f>ROUND(D32,0)</f>
        <v>2260</v>
      </c>
      <c r="E36" s="30"/>
      <c r="F36" s="25"/>
    </row>
    <row r="37" spans="1:9" x14ac:dyDescent="0.25">
      <c r="A37" s="52" t="s">
        <v>175</v>
      </c>
      <c r="B37" s="53" t="s">
        <v>70</v>
      </c>
      <c r="C37" s="53"/>
      <c r="D37" s="54">
        <f>ROUND(D33,0)</f>
        <v>4520</v>
      </c>
      <c r="E37" s="30"/>
      <c r="F37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defaultRowHeight="15" x14ac:dyDescent="0.25"/>
  <cols>
    <col min="1" max="1" width="54.140625" bestFit="1" customWidth="1"/>
    <col min="2" max="2" width="10" bestFit="1" customWidth="1"/>
    <col min="3" max="3" width="55" bestFit="1" customWidth="1"/>
    <col min="4" max="4" width="8.140625" bestFit="1" customWidth="1"/>
    <col min="5" max="5" width="14.5703125" bestFit="1" customWidth="1"/>
    <col min="6" max="6" width="9.5703125" bestFit="1" customWidth="1"/>
  </cols>
  <sheetData>
    <row r="1" spans="1:12" x14ac:dyDescent="0.25">
      <c r="A1" s="33" t="s">
        <v>37</v>
      </c>
      <c r="B1" s="34" t="s">
        <v>38</v>
      </c>
      <c r="C1" s="34" t="s">
        <v>39</v>
      </c>
      <c r="D1" s="34" t="s">
        <v>101</v>
      </c>
      <c r="E1" s="34" t="s">
        <v>45</v>
      </c>
      <c r="F1" s="50" t="s">
        <v>154</v>
      </c>
    </row>
    <row r="2" spans="1:12" x14ac:dyDescent="0.25">
      <c r="A2" s="52" t="s">
        <v>71</v>
      </c>
      <c r="B2" s="53"/>
      <c r="C2" s="53"/>
      <c r="D2" s="55">
        <f>'vypocet dotacie na studenta'!D35</f>
        <v>1321</v>
      </c>
      <c r="E2" s="30"/>
      <c r="F2" s="25"/>
      <c r="G2" s="39" t="s">
        <v>182</v>
      </c>
    </row>
    <row r="3" spans="1:12" x14ac:dyDescent="0.25">
      <c r="A3" s="52" t="s">
        <v>72</v>
      </c>
      <c r="B3" s="53"/>
      <c r="C3" s="53"/>
      <c r="D3" s="55">
        <f>'vypocet dotacie na studenta'!D36</f>
        <v>2260</v>
      </c>
      <c r="E3" s="30"/>
      <c r="F3" s="25"/>
      <c r="G3" s="39" t="s">
        <v>182</v>
      </c>
    </row>
    <row r="4" spans="1:12" x14ac:dyDescent="0.25">
      <c r="A4" s="52" t="s">
        <v>73</v>
      </c>
      <c r="B4" s="53"/>
      <c r="C4" s="53"/>
      <c r="D4" s="55">
        <f>'vypocet dotacie na studenta'!D37</f>
        <v>4520</v>
      </c>
      <c r="E4" s="30"/>
      <c r="F4" s="25"/>
      <c r="G4" s="39" t="s">
        <v>182</v>
      </c>
    </row>
    <row r="5" spans="1:12" s="64" customFormat="1" ht="14.45" x14ac:dyDescent="0.35">
      <c r="A5" s="59"/>
      <c r="B5" s="60"/>
      <c r="C5" s="60"/>
      <c r="D5" s="61"/>
      <c r="E5" s="62"/>
      <c r="F5" s="63"/>
    </row>
    <row r="6" spans="1:12" ht="14.45" x14ac:dyDescent="0.35">
      <c r="A6" s="76" t="s">
        <v>176</v>
      </c>
      <c r="B6" s="25">
        <v>60</v>
      </c>
      <c r="C6" s="25"/>
      <c r="D6" s="77"/>
      <c r="E6" s="25"/>
      <c r="F6" s="25"/>
      <c r="L6" s="64"/>
    </row>
    <row r="7" spans="1:12" ht="14.45" x14ac:dyDescent="0.35">
      <c r="A7" s="76" t="s">
        <v>177</v>
      </c>
      <c r="B7" s="25"/>
      <c r="C7" s="25"/>
      <c r="D7" s="77"/>
      <c r="E7" s="25"/>
      <c r="F7" s="25"/>
      <c r="L7" s="64"/>
    </row>
    <row r="8" spans="1:12" x14ac:dyDescent="0.25">
      <c r="A8" s="52" t="s">
        <v>178</v>
      </c>
      <c r="B8" s="53" t="s">
        <v>68</v>
      </c>
      <c r="C8" s="53"/>
      <c r="D8" s="54">
        <f>ROUND(D2/$B$6,2)</f>
        <v>22.02</v>
      </c>
      <c r="E8" s="25"/>
      <c r="F8" s="25"/>
      <c r="G8" s="39" t="s">
        <v>182</v>
      </c>
      <c r="L8" s="64"/>
    </row>
    <row r="9" spans="1:12" x14ac:dyDescent="0.25">
      <c r="A9" s="52" t="s">
        <v>179</v>
      </c>
      <c r="B9" s="53" t="s">
        <v>69</v>
      </c>
      <c r="C9" s="53"/>
      <c r="D9" s="54">
        <f>ROUND(D3/$B$6,2)</f>
        <v>37.67</v>
      </c>
      <c r="E9" s="25"/>
      <c r="F9" s="25"/>
      <c r="G9" s="39" t="s">
        <v>182</v>
      </c>
      <c r="L9" s="64"/>
    </row>
    <row r="10" spans="1:12" x14ac:dyDescent="0.25">
      <c r="A10" s="52" t="s">
        <v>180</v>
      </c>
      <c r="B10" s="53" t="s">
        <v>70</v>
      </c>
      <c r="C10" s="53"/>
      <c r="D10" s="54">
        <f>ROUND(D4/$B$6,2)</f>
        <v>75.33</v>
      </c>
      <c r="E10" s="25"/>
      <c r="F10" s="25"/>
      <c r="G10" s="39" t="s">
        <v>182</v>
      </c>
      <c r="L10" s="64"/>
    </row>
    <row r="11" spans="1:12" s="64" customFormat="1" ht="14.45" x14ac:dyDescent="0.35">
      <c r="A11" s="59"/>
      <c r="B11" s="60"/>
      <c r="C11" s="60"/>
      <c r="D11" s="61"/>
      <c r="E11" s="62"/>
      <c r="F11" s="63"/>
    </row>
    <row r="12" spans="1:12" x14ac:dyDescent="0.25">
      <c r="A12" s="29" t="s">
        <v>74</v>
      </c>
      <c r="B12" s="29" t="s">
        <v>75</v>
      </c>
      <c r="C12" s="29"/>
      <c r="D12" s="30"/>
      <c r="E12" s="51">
        <v>0.5</v>
      </c>
      <c r="F12" s="25" t="s">
        <v>153</v>
      </c>
    </row>
    <row r="13" spans="1:12" ht="14.45" x14ac:dyDescent="0.35">
      <c r="A13" s="29"/>
      <c r="B13" s="29"/>
      <c r="C13" s="29"/>
      <c r="D13" s="30"/>
      <c r="E13" s="51"/>
      <c r="F13" s="25"/>
    </row>
    <row r="14" spans="1:12" x14ac:dyDescent="0.25">
      <c r="A14" s="28" t="s">
        <v>76</v>
      </c>
      <c r="B14" s="29" t="s">
        <v>79</v>
      </c>
      <c r="C14" s="29" t="s">
        <v>157</v>
      </c>
      <c r="D14" s="30">
        <f>D8*$E$12</f>
        <v>11.01</v>
      </c>
      <c r="E14" s="30"/>
      <c r="F14" s="25"/>
    </row>
    <row r="15" spans="1:12" x14ac:dyDescent="0.25">
      <c r="A15" s="28" t="s">
        <v>77</v>
      </c>
      <c r="B15" s="29" t="s">
        <v>80</v>
      </c>
      <c r="C15" s="29" t="s">
        <v>158</v>
      </c>
      <c r="D15" s="30">
        <f>D9*$E$12</f>
        <v>18.835000000000001</v>
      </c>
      <c r="E15" s="30"/>
      <c r="F15" s="25"/>
    </row>
    <row r="16" spans="1:12" x14ac:dyDescent="0.25">
      <c r="A16" s="28" t="s">
        <v>78</v>
      </c>
      <c r="B16" s="29" t="s">
        <v>81</v>
      </c>
      <c r="C16" s="29" t="s">
        <v>159</v>
      </c>
      <c r="D16" s="30">
        <f>D10*$E$12</f>
        <v>37.664999999999999</v>
      </c>
      <c r="E16" s="30"/>
      <c r="F16" s="25"/>
    </row>
    <row r="17" spans="1:6" ht="14.45" x14ac:dyDescent="0.35">
      <c r="A17" s="29"/>
      <c r="B17" s="29"/>
      <c r="C17" s="29"/>
      <c r="D17" s="30"/>
      <c r="E17" s="30"/>
      <c r="F17" s="25"/>
    </row>
    <row r="18" spans="1:6" ht="30" x14ac:dyDescent="0.25">
      <c r="A18" s="68" t="s">
        <v>82</v>
      </c>
      <c r="B18" s="69" t="s">
        <v>83</v>
      </c>
      <c r="C18" s="69" t="s">
        <v>195</v>
      </c>
      <c r="D18" s="30"/>
      <c r="E18" s="30"/>
      <c r="F18" s="25"/>
    </row>
    <row r="19" spans="1:6" ht="30" x14ac:dyDescent="0.25">
      <c r="A19" s="68" t="s">
        <v>84</v>
      </c>
      <c r="B19" s="69" t="s">
        <v>85</v>
      </c>
      <c r="C19" s="69" t="s">
        <v>193</v>
      </c>
      <c r="D19" s="30"/>
      <c r="E19" s="30"/>
      <c r="F19" s="25"/>
    </row>
    <row r="20" spans="1:6" ht="30" x14ac:dyDescent="0.25">
      <c r="A20" s="68" t="s">
        <v>86</v>
      </c>
      <c r="B20" s="69" t="s">
        <v>87</v>
      </c>
      <c r="C20" s="69" t="s">
        <v>194</v>
      </c>
      <c r="D20" s="30"/>
      <c r="E20" s="30"/>
      <c r="F20" s="2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6"/>
  <sheetViews>
    <sheetView tabSelected="1" workbookViewId="0">
      <selection activeCell="F10" sqref="F10"/>
    </sheetView>
  </sheetViews>
  <sheetFormatPr defaultRowHeight="15" x14ac:dyDescent="0.25"/>
  <cols>
    <col min="1" max="1" width="38.5703125" customWidth="1"/>
    <col min="5" max="5" width="19.5703125" bestFit="1" customWidth="1"/>
    <col min="6" max="6" width="19.5703125" customWidth="1"/>
    <col min="13" max="13" width="13.5703125" customWidth="1"/>
    <col min="14" max="14" width="15.42578125" bestFit="1" customWidth="1"/>
    <col min="15" max="15" width="21.5703125" bestFit="1" customWidth="1"/>
    <col min="16" max="17" width="8.28515625" bestFit="1" customWidth="1"/>
    <col min="18" max="18" width="14.85546875" bestFit="1" customWidth="1"/>
  </cols>
  <sheetData>
    <row r="1" spans="1:19" x14ac:dyDescent="0.25">
      <c r="A1" s="13" t="s">
        <v>176</v>
      </c>
      <c r="B1">
        <v>60</v>
      </c>
      <c r="D1" s="32"/>
      <c r="O1" s="80" t="s">
        <v>92</v>
      </c>
      <c r="P1" s="80" t="s">
        <v>93</v>
      </c>
      <c r="Q1" s="80" t="s">
        <v>94</v>
      </c>
      <c r="R1" s="25"/>
    </row>
    <row r="2" spans="1:19" x14ac:dyDescent="0.25">
      <c r="A2" s="13" t="s">
        <v>177</v>
      </c>
      <c r="D2" s="32"/>
      <c r="O2" s="45">
        <v>41</v>
      </c>
      <c r="P2" s="45">
        <v>18</v>
      </c>
      <c r="Q2" s="45">
        <v>13</v>
      </c>
      <c r="R2" s="25" t="s">
        <v>95</v>
      </c>
    </row>
    <row r="3" spans="1:19" x14ac:dyDescent="0.25">
      <c r="A3" s="52" t="s">
        <v>178</v>
      </c>
      <c r="B3" s="53" t="s">
        <v>68</v>
      </c>
      <c r="C3" s="53"/>
      <c r="D3" s="54">
        <f>'vypocet vykonov fakult'!D14</f>
        <v>11.01</v>
      </c>
      <c r="O3" s="25" t="s">
        <v>97</v>
      </c>
      <c r="P3" s="25"/>
      <c r="Q3" s="25"/>
      <c r="R3" s="25"/>
    </row>
    <row r="4" spans="1:19" x14ac:dyDescent="0.25">
      <c r="A4" s="52" t="s">
        <v>179</v>
      </c>
      <c r="B4" s="53" t="s">
        <v>69</v>
      </c>
      <c r="C4" s="53"/>
      <c r="D4" s="54">
        <f>'vypocet vykonov fakult'!D15</f>
        <v>18.835000000000001</v>
      </c>
      <c r="O4" s="45">
        <v>13</v>
      </c>
      <c r="P4" s="25"/>
      <c r="Q4" s="25"/>
      <c r="R4" s="25"/>
    </row>
    <row r="5" spans="1:19" x14ac:dyDescent="0.25">
      <c r="A5" s="52" t="s">
        <v>180</v>
      </c>
      <c r="B5" s="53" t="s">
        <v>70</v>
      </c>
      <c r="C5" s="53"/>
      <c r="D5" s="54">
        <f>'vypocet vykonov fakult'!D16</f>
        <v>37.664999999999999</v>
      </c>
    </row>
    <row r="8" spans="1:19" ht="15.6" x14ac:dyDescent="0.35">
      <c r="E8" s="90" t="s">
        <v>32</v>
      </c>
      <c r="F8" s="90">
        <v>20</v>
      </c>
    </row>
    <row r="9" spans="1:19" ht="15.75" x14ac:dyDescent="0.25">
      <c r="B9" s="2" t="s">
        <v>29</v>
      </c>
      <c r="C9" s="2"/>
      <c r="D9" s="2"/>
      <c r="E9" s="90" t="s">
        <v>183</v>
      </c>
      <c r="F9" s="90">
        <v>0.9</v>
      </c>
      <c r="G9" s="2"/>
      <c r="H9" s="2"/>
      <c r="I9" s="2"/>
      <c r="J9" s="2"/>
      <c r="K9" s="2"/>
      <c r="L9" s="2"/>
    </row>
    <row r="10" spans="1:19" x14ac:dyDescent="0.25">
      <c r="A10" s="92" t="s">
        <v>88</v>
      </c>
      <c r="B10" s="94" t="s">
        <v>26</v>
      </c>
      <c r="C10" s="95"/>
      <c r="D10" s="96" t="s">
        <v>30</v>
      </c>
      <c r="E10" s="91" t="s">
        <v>31</v>
      </c>
      <c r="F10" s="66"/>
      <c r="G10" s="91" t="s">
        <v>99</v>
      </c>
      <c r="H10" s="91" t="s">
        <v>98</v>
      </c>
      <c r="I10" s="91" t="s">
        <v>155</v>
      </c>
      <c r="J10" s="91"/>
      <c r="K10" s="91"/>
      <c r="L10" s="66" t="s">
        <v>89</v>
      </c>
      <c r="M10" s="46" t="s">
        <v>90</v>
      </c>
      <c r="N10" s="25"/>
      <c r="O10" s="79" t="s">
        <v>91</v>
      </c>
      <c r="P10" s="79"/>
      <c r="Q10" s="79"/>
      <c r="R10" s="79"/>
    </row>
    <row r="11" spans="1:19" x14ac:dyDescent="0.25">
      <c r="A11" s="93"/>
      <c r="B11" s="8" t="s">
        <v>27</v>
      </c>
      <c r="C11" s="9" t="s">
        <v>28</v>
      </c>
      <c r="D11" s="97"/>
      <c r="E11" s="95"/>
      <c r="F11" s="65"/>
      <c r="G11" s="98"/>
      <c r="H11" s="98"/>
      <c r="I11" s="65" t="s">
        <v>27</v>
      </c>
      <c r="J11" s="65" t="s">
        <v>28</v>
      </c>
      <c r="K11" s="65" t="s">
        <v>94</v>
      </c>
      <c r="L11" s="65"/>
      <c r="M11" s="46"/>
      <c r="N11" s="25"/>
      <c r="O11" s="45" t="s">
        <v>27</v>
      </c>
      <c r="P11" s="45" t="s">
        <v>28</v>
      </c>
      <c r="Q11" s="45" t="s">
        <v>96</v>
      </c>
      <c r="R11" s="45" t="s">
        <v>11</v>
      </c>
    </row>
    <row r="12" spans="1:19" s="64" customFormat="1" ht="14.45" x14ac:dyDescent="0.35">
      <c r="A12" s="10" t="s">
        <v>160</v>
      </c>
      <c r="B12" s="11">
        <v>0</v>
      </c>
      <c r="C12" s="11">
        <v>1</v>
      </c>
      <c r="D12" s="11">
        <v>0</v>
      </c>
      <c r="E12" s="11">
        <v>1</v>
      </c>
      <c r="F12" s="11">
        <f>(E12+$F$8)^$F$9</f>
        <v>15.488072227168733</v>
      </c>
      <c r="G12" s="11">
        <v>1</v>
      </c>
      <c r="H12" s="11">
        <v>1</v>
      </c>
      <c r="I12" s="11">
        <f>B12*G12*$O$4</f>
        <v>0</v>
      </c>
      <c r="J12" s="11">
        <f>C12*H12*$O$4</f>
        <v>13</v>
      </c>
      <c r="K12" s="11">
        <v>0</v>
      </c>
      <c r="L12" s="11">
        <v>1</v>
      </c>
      <c r="M12" s="70">
        <f t="shared" ref="M12:M31" si="0">F12*L12*$D$3</f>
        <v>170.52367522112775</v>
      </c>
      <c r="N12" s="63">
        <f>M12/R12</f>
        <v>0.72873365479114427</v>
      </c>
      <c r="O12" s="63">
        <f>B12*G12*$O$4*$O$2</f>
        <v>0</v>
      </c>
      <c r="P12" s="63">
        <f>C12*H12*$O$4*$P$2</f>
        <v>234</v>
      </c>
      <c r="Q12" s="63">
        <f>K12*$Q$2</f>
        <v>0</v>
      </c>
      <c r="R12" s="71">
        <f>O12+P12+Q12</f>
        <v>234</v>
      </c>
      <c r="S12" s="67">
        <f>M12-R12</f>
        <v>-63.476324778872254</v>
      </c>
    </row>
    <row r="13" spans="1:19" s="64" customFormat="1" ht="14.45" x14ac:dyDescent="0.35">
      <c r="A13" s="10" t="s">
        <v>161</v>
      </c>
      <c r="B13" s="11">
        <v>0</v>
      </c>
      <c r="C13" s="11">
        <v>1</v>
      </c>
      <c r="D13" s="11">
        <v>0</v>
      </c>
      <c r="E13" s="11">
        <v>10</v>
      </c>
      <c r="F13" s="11">
        <f>(E13+$F$8)^$F$9</f>
        <v>21.350553053747966</v>
      </c>
      <c r="G13" s="11">
        <v>1</v>
      </c>
      <c r="H13" s="11">
        <f t="shared" ref="H13:H31" si="1">ROUND(E13/20,0)</f>
        <v>1</v>
      </c>
      <c r="I13" s="11">
        <f t="shared" ref="I13:I31" si="2">B13*G13*$O$4</f>
        <v>0</v>
      </c>
      <c r="J13" s="11">
        <f t="shared" ref="J13:J31" si="3">C13*H13*$O$4</f>
        <v>13</v>
      </c>
      <c r="K13" s="11">
        <v>0</v>
      </c>
      <c r="L13" s="11">
        <v>1</v>
      </c>
      <c r="M13" s="70">
        <f t="shared" si="0"/>
        <v>235.06958912176509</v>
      </c>
      <c r="N13" s="63">
        <f t="shared" ref="N13:N31" si="4">M13/R13</f>
        <v>1.0045708936827569</v>
      </c>
      <c r="O13" s="63">
        <f t="shared" ref="O13:O31" si="5">B13*G13*$O$4*$O$2</f>
        <v>0</v>
      </c>
      <c r="P13" s="63">
        <f t="shared" ref="P13:P31" si="6">C13*H13*$O$4*$P$2</f>
        <v>234</v>
      </c>
      <c r="Q13" s="63">
        <f t="shared" ref="Q13:Q31" si="7">K13*$Q$2</f>
        <v>0</v>
      </c>
      <c r="R13" s="71">
        <f t="shared" ref="R13:R31" si="8">O13+P13+Q13</f>
        <v>234</v>
      </c>
      <c r="S13" s="67">
        <f t="shared" ref="S13:S31" si="9">M13-R13</f>
        <v>1.069589121765091</v>
      </c>
    </row>
    <row r="14" spans="1:19" ht="14.45" x14ac:dyDescent="0.35">
      <c r="A14" s="10" t="s">
        <v>162</v>
      </c>
      <c r="B14" s="11">
        <v>0</v>
      </c>
      <c r="C14" s="11">
        <v>1</v>
      </c>
      <c r="D14" s="11">
        <v>0</v>
      </c>
      <c r="E14" s="11">
        <v>100</v>
      </c>
      <c r="F14" s="11">
        <f t="shared" ref="F14:F31" si="10">(E14+$F$8)^$F$9</f>
        <v>74.346943950496254</v>
      </c>
      <c r="G14" s="11">
        <v>1</v>
      </c>
      <c r="H14" s="11">
        <f t="shared" si="1"/>
        <v>5</v>
      </c>
      <c r="I14" s="11">
        <f t="shared" si="2"/>
        <v>0</v>
      </c>
      <c r="J14" s="11">
        <f t="shared" si="3"/>
        <v>65</v>
      </c>
      <c r="K14" s="11">
        <v>0</v>
      </c>
      <c r="L14" s="11">
        <v>1</v>
      </c>
      <c r="M14" s="81">
        <f t="shared" si="0"/>
        <v>818.55985289496368</v>
      </c>
      <c r="N14" s="63">
        <f t="shared" si="4"/>
        <v>0.69962380589313133</v>
      </c>
      <c r="O14" s="63">
        <f t="shared" si="5"/>
        <v>0</v>
      </c>
      <c r="P14" s="63">
        <f t="shared" si="6"/>
        <v>1170</v>
      </c>
      <c r="Q14" s="63">
        <f t="shared" si="7"/>
        <v>0</v>
      </c>
      <c r="R14" s="71">
        <f t="shared" si="8"/>
        <v>1170</v>
      </c>
      <c r="S14" s="67">
        <f t="shared" si="9"/>
        <v>-351.44014710503632</v>
      </c>
    </row>
    <row r="15" spans="1:19" s="88" customFormat="1" ht="14.45" x14ac:dyDescent="0.35">
      <c r="A15" s="82" t="s">
        <v>163</v>
      </c>
      <c r="B15" s="83">
        <v>0</v>
      </c>
      <c r="C15" s="83">
        <v>1</v>
      </c>
      <c r="D15" s="83">
        <v>0</v>
      </c>
      <c r="E15" s="83">
        <v>300</v>
      </c>
      <c r="F15" s="83">
        <f t="shared" si="10"/>
        <v>179.73596200367328</v>
      </c>
      <c r="G15" s="83">
        <v>1</v>
      </c>
      <c r="H15" s="83">
        <f t="shared" si="1"/>
        <v>15</v>
      </c>
      <c r="I15" s="83">
        <f t="shared" si="2"/>
        <v>0</v>
      </c>
      <c r="J15" s="83">
        <f t="shared" si="3"/>
        <v>195</v>
      </c>
      <c r="K15" s="83">
        <v>0</v>
      </c>
      <c r="L15" s="83">
        <v>1</v>
      </c>
      <c r="M15" s="84">
        <f t="shared" si="0"/>
        <v>1978.8929416604428</v>
      </c>
      <c r="N15" s="85">
        <f t="shared" si="4"/>
        <v>0.56378716286622299</v>
      </c>
      <c r="O15" s="85">
        <f t="shared" si="5"/>
        <v>0</v>
      </c>
      <c r="P15" s="85">
        <f t="shared" si="6"/>
        <v>3510</v>
      </c>
      <c r="Q15" s="85">
        <f t="shared" si="7"/>
        <v>0</v>
      </c>
      <c r="R15" s="86">
        <f t="shared" si="8"/>
        <v>3510</v>
      </c>
      <c r="S15" s="87">
        <f t="shared" si="9"/>
        <v>-1531.1070583395572</v>
      </c>
    </row>
    <row r="16" spans="1:19" ht="14.45" x14ac:dyDescent="0.35">
      <c r="A16" s="10" t="s">
        <v>164</v>
      </c>
      <c r="B16" s="11">
        <v>0</v>
      </c>
      <c r="C16" s="11">
        <v>1</v>
      </c>
      <c r="D16" s="11" t="s">
        <v>32</v>
      </c>
      <c r="E16" s="11">
        <v>1</v>
      </c>
      <c r="F16" s="11">
        <f>(E16+$F$8)^$F$9</f>
        <v>15.488072227168733</v>
      </c>
      <c r="G16" s="11">
        <v>1</v>
      </c>
      <c r="H16" s="11">
        <v>1</v>
      </c>
      <c r="I16" s="11">
        <f t="shared" si="2"/>
        <v>0</v>
      </c>
      <c r="J16" s="11">
        <f t="shared" si="3"/>
        <v>13</v>
      </c>
      <c r="K16" s="11">
        <f t="shared" ref="K16:K31" si="11">E16</f>
        <v>1</v>
      </c>
      <c r="L16" s="11">
        <v>1</v>
      </c>
      <c r="M16" s="70">
        <f t="shared" si="0"/>
        <v>170.52367522112775</v>
      </c>
      <c r="N16" s="63">
        <f t="shared" si="4"/>
        <v>0.69037925190739979</v>
      </c>
      <c r="O16" s="63">
        <f t="shared" si="5"/>
        <v>0</v>
      </c>
      <c r="P16" s="63">
        <f t="shared" si="6"/>
        <v>234</v>
      </c>
      <c r="Q16" s="63">
        <f t="shared" si="7"/>
        <v>13</v>
      </c>
      <c r="R16" s="71">
        <f t="shared" si="8"/>
        <v>247</v>
      </c>
      <c r="S16" s="67">
        <f t="shared" si="9"/>
        <v>-76.476324778872254</v>
      </c>
    </row>
    <row r="17" spans="1:19" ht="14.45" x14ac:dyDescent="0.35">
      <c r="A17" s="10" t="s">
        <v>165</v>
      </c>
      <c r="B17" s="11">
        <v>0</v>
      </c>
      <c r="C17" s="11">
        <v>1</v>
      </c>
      <c r="D17" s="11" t="s">
        <v>32</v>
      </c>
      <c r="E17" s="11">
        <v>10</v>
      </c>
      <c r="F17" s="11">
        <f>(E17+$F$8)^$F$9</f>
        <v>21.350553053747966</v>
      </c>
      <c r="G17" s="11">
        <v>1</v>
      </c>
      <c r="H17" s="11">
        <f t="shared" si="1"/>
        <v>1</v>
      </c>
      <c r="I17" s="11">
        <f t="shared" si="2"/>
        <v>0</v>
      </c>
      <c r="J17" s="11">
        <f t="shared" si="3"/>
        <v>13</v>
      </c>
      <c r="K17" s="11">
        <f t="shared" si="11"/>
        <v>10</v>
      </c>
      <c r="L17" s="11">
        <v>1</v>
      </c>
      <c r="M17" s="70">
        <f t="shared" si="0"/>
        <v>235.06958912176509</v>
      </c>
      <c r="N17" s="63">
        <f t="shared" si="4"/>
        <v>0.64579557451034364</v>
      </c>
      <c r="O17" s="63">
        <f t="shared" si="5"/>
        <v>0</v>
      </c>
      <c r="P17" s="63">
        <f t="shared" si="6"/>
        <v>234</v>
      </c>
      <c r="Q17" s="63">
        <f t="shared" si="7"/>
        <v>130</v>
      </c>
      <c r="R17" s="71">
        <f t="shared" si="8"/>
        <v>364</v>
      </c>
      <c r="S17" s="67">
        <f t="shared" si="9"/>
        <v>-128.93041087823491</v>
      </c>
    </row>
    <row r="18" spans="1:19" ht="14.45" x14ac:dyDescent="0.35">
      <c r="A18" s="10" t="s">
        <v>166</v>
      </c>
      <c r="B18" s="11">
        <v>0</v>
      </c>
      <c r="C18" s="11">
        <v>1</v>
      </c>
      <c r="D18" s="11" t="s">
        <v>32</v>
      </c>
      <c r="E18" s="11">
        <v>100</v>
      </c>
      <c r="F18" s="11">
        <f t="shared" si="10"/>
        <v>74.346943950496254</v>
      </c>
      <c r="G18" s="11">
        <v>1</v>
      </c>
      <c r="H18" s="11">
        <f t="shared" si="1"/>
        <v>5</v>
      </c>
      <c r="I18" s="11">
        <f t="shared" si="2"/>
        <v>0</v>
      </c>
      <c r="J18" s="11">
        <f t="shared" si="3"/>
        <v>65</v>
      </c>
      <c r="K18" s="11">
        <f t="shared" si="11"/>
        <v>100</v>
      </c>
      <c r="L18" s="11">
        <v>1</v>
      </c>
      <c r="M18" s="81">
        <f t="shared" si="0"/>
        <v>818.55985289496368</v>
      </c>
      <c r="N18" s="63">
        <f t="shared" si="4"/>
        <v>0.33140075015990433</v>
      </c>
      <c r="O18" s="63">
        <f t="shared" si="5"/>
        <v>0</v>
      </c>
      <c r="P18" s="63">
        <f t="shared" si="6"/>
        <v>1170</v>
      </c>
      <c r="Q18" s="63">
        <f t="shared" si="7"/>
        <v>1300</v>
      </c>
      <c r="R18" s="71">
        <f t="shared" si="8"/>
        <v>2470</v>
      </c>
      <c r="S18" s="67">
        <f t="shared" si="9"/>
        <v>-1651.4401471050364</v>
      </c>
    </row>
    <row r="19" spans="1:19" s="88" customFormat="1" ht="14.45" x14ac:dyDescent="0.35">
      <c r="A19" s="82" t="s">
        <v>167</v>
      </c>
      <c r="B19" s="83">
        <v>0</v>
      </c>
      <c r="C19" s="83">
        <v>1</v>
      </c>
      <c r="D19" s="83" t="s">
        <v>32</v>
      </c>
      <c r="E19" s="83">
        <v>300</v>
      </c>
      <c r="F19" s="83">
        <f t="shared" si="10"/>
        <v>179.73596200367328</v>
      </c>
      <c r="G19" s="83">
        <v>1</v>
      </c>
      <c r="H19" s="83">
        <f t="shared" si="1"/>
        <v>15</v>
      </c>
      <c r="I19" s="83">
        <f t="shared" si="2"/>
        <v>0</v>
      </c>
      <c r="J19" s="83">
        <f t="shared" si="3"/>
        <v>195</v>
      </c>
      <c r="K19" s="83">
        <f t="shared" si="11"/>
        <v>300</v>
      </c>
      <c r="L19" s="83">
        <v>1</v>
      </c>
      <c r="M19" s="84">
        <f t="shared" si="0"/>
        <v>1978.8929416604428</v>
      </c>
      <c r="N19" s="85">
        <f t="shared" si="4"/>
        <v>0.26705707714715826</v>
      </c>
      <c r="O19" s="85">
        <f t="shared" si="5"/>
        <v>0</v>
      </c>
      <c r="P19" s="85">
        <f t="shared" si="6"/>
        <v>3510</v>
      </c>
      <c r="Q19" s="85">
        <f t="shared" si="7"/>
        <v>3900</v>
      </c>
      <c r="R19" s="86">
        <f t="shared" si="8"/>
        <v>7410</v>
      </c>
      <c r="S19" s="87">
        <f t="shared" si="9"/>
        <v>-5431.1070583395576</v>
      </c>
    </row>
    <row r="20" spans="1:19" ht="14.45" x14ac:dyDescent="0.35">
      <c r="A20" s="10" t="s">
        <v>168</v>
      </c>
      <c r="B20" s="11">
        <v>1</v>
      </c>
      <c r="C20" s="11">
        <v>1</v>
      </c>
      <c r="D20" s="11" t="s">
        <v>32</v>
      </c>
      <c r="E20" s="11">
        <v>1</v>
      </c>
      <c r="F20" s="11">
        <f t="shared" si="10"/>
        <v>15.488072227168733</v>
      </c>
      <c r="G20" s="11">
        <v>1</v>
      </c>
      <c r="H20" s="11">
        <v>1</v>
      </c>
      <c r="I20" s="11">
        <f t="shared" si="2"/>
        <v>13</v>
      </c>
      <c r="J20" s="11">
        <f t="shared" si="3"/>
        <v>13</v>
      </c>
      <c r="K20" s="11">
        <f t="shared" si="11"/>
        <v>1</v>
      </c>
      <c r="L20" s="11">
        <v>2</v>
      </c>
      <c r="M20" s="81">
        <f t="shared" si="0"/>
        <v>341.04735044225549</v>
      </c>
      <c r="N20" s="63">
        <f t="shared" si="4"/>
        <v>0.43724019287468652</v>
      </c>
      <c r="O20" s="63">
        <f t="shared" si="5"/>
        <v>533</v>
      </c>
      <c r="P20" s="63">
        <f t="shared" si="6"/>
        <v>234</v>
      </c>
      <c r="Q20" s="63">
        <f t="shared" si="7"/>
        <v>13</v>
      </c>
      <c r="R20" s="71">
        <f t="shared" si="8"/>
        <v>780</v>
      </c>
      <c r="S20" s="67">
        <f t="shared" si="9"/>
        <v>-438.95264955774451</v>
      </c>
    </row>
    <row r="21" spans="1:19" ht="14.45" x14ac:dyDescent="0.35">
      <c r="A21" s="10" t="s">
        <v>169</v>
      </c>
      <c r="B21" s="11">
        <v>1</v>
      </c>
      <c r="C21" s="11">
        <v>1</v>
      </c>
      <c r="D21" s="11" t="s">
        <v>32</v>
      </c>
      <c r="E21" s="11">
        <v>10</v>
      </c>
      <c r="F21" s="11">
        <f t="shared" si="10"/>
        <v>21.350553053747966</v>
      </c>
      <c r="G21" s="11">
        <v>1</v>
      </c>
      <c r="H21" s="11">
        <f t="shared" si="1"/>
        <v>1</v>
      </c>
      <c r="I21" s="11">
        <f t="shared" si="2"/>
        <v>13</v>
      </c>
      <c r="J21" s="11">
        <f t="shared" si="3"/>
        <v>13</v>
      </c>
      <c r="K21" s="11">
        <f t="shared" si="11"/>
        <v>10</v>
      </c>
      <c r="L21" s="11">
        <v>2</v>
      </c>
      <c r="M21" s="81">
        <f t="shared" si="0"/>
        <v>470.13917824353018</v>
      </c>
      <c r="N21" s="63">
        <f t="shared" si="4"/>
        <v>0.524123944530134</v>
      </c>
      <c r="O21" s="63">
        <f t="shared" si="5"/>
        <v>533</v>
      </c>
      <c r="P21" s="63">
        <f t="shared" si="6"/>
        <v>234</v>
      </c>
      <c r="Q21" s="63">
        <f t="shared" si="7"/>
        <v>130</v>
      </c>
      <c r="R21" s="71">
        <f t="shared" si="8"/>
        <v>897</v>
      </c>
      <c r="S21" s="67">
        <f t="shared" si="9"/>
        <v>-426.86082175646982</v>
      </c>
    </row>
    <row r="22" spans="1:19" ht="14.45" x14ac:dyDescent="0.35">
      <c r="A22" s="10" t="s">
        <v>170</v>
      </c>
      <c r="B22" s="11">
        <v>1</v>
      </c>
      <c r="C22" s="11">
        <v>1</v>
      </c>
      <c r="D22" s="11" t="s">
        <v>32</v>
      </c>
      <c r="E22" s="11">
        <v>100</v>
      </c>
      <c r="F22" s="11">
        <f t="shared" si="10"/>
        <v>74.346943950496254</v>
      </c>
      <c r="G22" s="11">
        <v>1</v>
      </c>
      <c r="H22" s="11">
        <f t="shared" si="1"/>
        <v>5</v>
      </c>
      <c r="I22" s="11">
        <f t="shared" si="2"/>
        <v>13</v>
      </c>
      <c r="J22" s="11">
        <f t="shared" si="3"/>
        <v>65</v>
      </c>
      <c r="K22" s="11">
        <f t="shared" si="11"/>
        <v>100</v>
      </c>
      <c r="L22" s="11">
        <v>2</v>
      </c>
      <c r="M22" s="81">
        <f t="shared" si="0"/>
        <v>1637.1197057899274</v>
      </c>
      <c r="N22" s="63">
        <f t="shared" si="4"/>
        <v>0.54516140718945305</v>
      </c>
      <c r="O22" s="63">
        <f t="shared" si="5"/>
        <v>533</v>
      </c>
      <c r="P22" s="63">
        <f t="shared" si="6"/>
        <v>1170</v>
      </c>
      <c r="Q22" s="63">
        <f t="shared" si="7"/>
        <v>1300</v>
      </c>
      <c r="R22" s="71">
        <f t="shared" si="8"/>
        <v>3003</v>
      </c>
      <c r="S22" s="67">
        <f t="shared" si="9"/>
        <v>-1365.8802942100726</v>
      </c>
    </row>
    <row r="23" spans="1:19" s="88" customFormat="1" ht="14.45" x14ac:dyDescent="0.35">
      <c r="A23" s="82" t="s">
        <v>171</v>
      </c>
      <c r="B23" s="83">
        <v>1</v>
      </c>
      <c r="C23" s="83">
        <v>1</v>
      </c>
      <c r="D23" s="83" t="s">
        <v>32</v>
      </c>
      <c r="E23" s="83">
        <v>300</v>
      </c>
      <c r="F23" s="83">
        <f t="shared" si="10"/>
        <v>179.73596200367328</v>
      </c>
      <c r="G23" s="83">
        <v>1</v>
      </c>
      <c r="H23" s="83">
        <f t="shared" si="1"/>
        <v>15</v>
      </c>
      <c r="I23" s="83">
        <f t="shared" si="2"/>
        <v>13</v>
      </c>
      <c r="J23" s="83">
        <f t="shared" si="3"/>
        <v>195</v>
      </c>
      <c r="K23" s="83">
        <f t="shared" si="11"/>
        <v>300</v>
      </c>
      <c r="L23" s="83">
        <v>2</v>
      </c>
      <c r="M23" s="84">
        <f t="shared" si="0"/>
        <v>3957.7858833208857</v>
      </c>
      <c r="N23" s="85">
        <f t="shared" si="4"/>
        <v>0.49827343362972248</v>
      </c>
      <c r="O23" s="85">
        <f t="shared" si="5"/>
        <v>533</v>
      </c>
      <c r="P23" s="85">
        <f t="shared" si="6"/>
        <v>3510</v>
      </c>
      <c r="Q23" s="85">
        <f t="shared" si="7"/>
        <v>3900</v>
      </c>
      <c r="R23" s="86">
        <f t="shared" si="8"/>
        <v>7943</v>
      </c>
      <c r="S23" s="87">
        <f t="shared" si="9"/>
        <v>-3985.2141166791143</v>
      </c>
    </row>
    <row r="24" spans="1:19" ht="14.45" x14ac:dyDescent="0.35">
      <c r="A24" s="10" t="s">
        <v>172</v>
      </c>
      <c r="B24" s="11">
        <v>2</v>
      </c>
      <c r="C24" s="11">
        <v>2</v>
      </c>
      <c r="D24" s="11" t="s">
        <v>32</v>
      </c>
      <c r="E24" s="11">
        <v>1</v>
      </c>
      <c r="F24" s="11">
        <f t="shared" si="10"/>
        <v>15.488072227168733</v>
      </c>
      <c r="G24" s="11">
        <v>1</v>
      </c>
      <c r="H24" s="11">
        <v>1</v>
      </c>
      <c r="I24" s="11">
        <f t="shared" si="2"/>
        <v>26</v>
      </c>
      <c r="J24" s="11">
        <f t="shared" si="3"/>
        <v>26</v>
      </c>
      <c r="K24" s="11">
        <f t="shared" si="11"/>
        <v>1</v>
      </c>
      <c r="L24" s="11">
        <v>4</v>
      </c>
      <c r="M24" s="81">
        <f t="shared" si="0"/>
        <v>682.09470088451098</v>
      </c>
      <c r="N24" s="63">
        <f t="shared" si="4"/>
        <v>0.44091448020976792</v>
      </c>
      <c r="O24" s="63">
        <f t="shared" si="5"/>
        <v>1066</v>
      </c>
      <c r="P24" s="63">
        <f t="shared" si="6"/>
        <v>468</v>
      </c>
      <c r="Q24" s="63">
        <f t="shared" si="7"/>
        <v>13</v>
      </c>
      <c r="R24" s="71">
        <f t="shared" si="8"/>
        <v>1547</v>
      </c>
      <c r="S24" s="67">
        <f t="shared" si="9"/>
        <v>-864.90529911548902</v>
      </c>
    </row>
    <row r="25" spans="1:19" ht="14.45" x14ac:dyDescent="0.35">
      <c r="A25" s="10" t="s">
        <v>186</v>
      </c>
      <c r="B25" s="11">
        <v>2</v>
      </c>
      <c r="C25" s="11">
        <v>2</v>
      </c>
      <c r="D25" s="11" t="s">
        <v>32</v>
      </c>
      <c r="E25" s="11">
        <v>10</v>
      </c>
      <c r="F25" s="11">
        <f t="shared" si="10"/>
        <v>21.350553053747966</v>
      </c>
      <c r="G25" s="11">
        <v>1</v>
      </c>
      <c r="H25" s="11">
        <f t="shared" si="1"/>
        <v>1</v>
      </c>
      <c r="I25" s="11">
        <f t="shared" si="2"/>
        <v>26</v>
      </c>
      <c r="J25" s="11">
        <f t="shared" si="3"/>
        <v>26</v>
      </c>
      <c r="K25" s="11">
        <f t="shared" si="11"/>
        <v>10</v>
      </c>
      <c r="L25" s="11">
        <v>4</v>
      </c>
      <c r="M25" s="81">
        <f t="shared" si="0"/>
        <v>940.27835648706036</v>
      </c>
      <c r="N25" s="63">
        <f t="shared" si="4"/>
        <v>0.56507112769655066</v>
      </c>
      <c r="O25" s="63">
        <f t="shared" si="5"/>
        <v>1066</v>
      </c>
      <c r="P25" s="63">
        <f t="shared" si="6"/>
        <v>468</v>
      </c>
      <c r="Q25" s="63">
        <f t="shared" si="7"/>
        <v>130</v>
      </c>
      <c r="R25" s="71">
        <f t="shared" si="8"/>
        <v>1664</v>
      </c>
      <c r="S25" s="67">
        <f t="shared" si="9"/>
        <v>-723.72164351293964</v>
      </c>
    </row>
    <row r="26" spans="1:19" ht="14.45" x14ac:dyDescent="0.35">
      <c r="A26" s="10" t="s">
        <v>187</v>
      </c>
      <c r="B26" s="11">
        <v>2</v>
      </c>
      <c r="C26" s="11">
        <v>2</v>
      </c>
      <c r="D26" s="11" t="s">
        <v>32</v>
      </c>
      <c r="E26" s="11">
        <v>100</v>
      </c>
      <c r="F26" s="11">
        <f t="shared" si="10"/>
        <v>74.346943950496254</v>
      </c>
      <c r="G26" s="11">
        <v>1</v>
      </c>
      <c r="H26" s="11">
        <f t="shared" si="1"/>
        <v>5</v>
      </c>
      <c r="I26" s="11">
        <f t="shared" si="2"/>
        <v>26</v>
      </c>
      <c r="J26" s="11">
        <f t="shared" si="3"/>
        <v>130</v>
      </c>
      <c r="K26" s="11">
        <f t="shared" si="11"/>
        <v>100</v>
      </c>
      <c r="L26" s="11">
        <v>4</v>
      </c>
      <c r="M26" s="81">
        <f t="shared" si="0"/>
        <v>3274.2394115798547</v>
      </c>
      <c r="N26" s="63">
        <f t="shared" si="4"/>
        <v>0.6957584809986942</v>
      </c>
      <c r="O26" s="63">
        <f t="shared" si="5"/>
        <v>1066</v>
      </c>
      <c r="P26" s="63">
        <f t="shared" si="6"/>
        <v>2340</v>
      </c>
      <c r="Q26" s="63">
        <f t="shared" si="7"/>
        <v>1300</v>
      </c>
      <c r="R26" s="71">
        <f t="shared" si="8"/>
        <v>4706</v>
      </c>
      <c r="S26" s="67">
        <f t="shared" si="9"/>
        <v>-1431.7605884201453</v>
      </c>
    </row>
    <row r="27" spans="1:19" s="88" customFormat="1" ht="14.45" x14ac:dyDescent="0.35">
      <c r="A27" s="82" t="s">
        <v>188</v>
      </c>
      <c r="B27" s="83">
        <v>2</v>
      </c>
      <c r="C27" s="83">
        <v>2</v>
      </c>
      <c r="D27" s="83" t="s">
        <v>32</v>
      </c>
      <c r="E27" s="83">
        <v>300</v>
      </c>
      <c r="F27" s="83">
        <f t="shared" si="10"/>
        <v>179.73596200367328</v>
      </c>
      <c r="G27" s="83">
        <v>1</v>
      </c>
      <c r="H27" s="83">
        <f t="shared" si="1"/>
        <v>15</v>
      </c>
      <c r="I27" s="83">
        <f t="shared" si="2"/>
        <v>26</v>
      </c>
      <c r="J27" s="83">
        <f t="shared" si="3"/>
        <v>390</v>
      </c>
      <c r="K27" s="83">
        <f t="shared" si="11"/>
        <v>300</v>
      </c>
      <c r="L27" s="83">
        <v>4</v>
      </c>
      <c r="M27" s="84">
        <f t="shared" si="0"/>
        <v>7915.5717666417713</v>
      </c>
      <c r="N27" s="85">
        <f t="shared" si="4"/>
        <v>0.6604014489105432</v>
      </c>
      <c r="O27" s="85">
        <f t="shared" si="5"/>
        <v>1066</v>
      </c>
      <c r="P27" s="85">
        <f t="shared" si="6"/>
        <v>7020</v>
      </c>
      <c r="Q27" s="85">
        <f t="shared" si="7"/>
        <v>3900</v>
      </c>
      <c r="R27" s="86">
        <f t="shared" si="8"/>
        <v>11986</v>
      </c>
      <c r="S27" s="87">
        <f t="shared" si="9"/>
        <v>-4070.4282333582287</v>
      </c>
    </row>
    <row r="28" spans="1:19" ht="14.45" x14ac:dyDescent="0.35">
      <c r="A28" s="10" t="s">
        <v>189</v>
      </c>
      <c r="B28" s="11">
        <v>3</v>
      </c>
      <c r="C28" s="11">
        <v>3</v>
      </c>
      <c r="D28" s="11" t="s">
        <v>32</v>
      </c>
      <c r="E28" s="11">
        <v>1</v>
      </c>
      <c r="F28" s="11">
        <f t="shared" si="10"/>
        <v>15.488072227168733</v>
      </c>
      <c r="G28" s="11">
        <v>1</v>
      </c>
      <c r="H28" s="11">
        <v>1</v>
      </c>
      <c r="I28" s="11">
        <f t="shared" si="2"/>
        <v>39</v>
      </c>
      <c r="J28" s="11">
        <f t="shared" si="3"/>
        <v>39</v>
      </c>
      <c r="K28" s="11">
        <f t="shared" si="11"/>
        <v>1</v>
      </c>
      <c r="L28" s="11">
        <v>6</v>
      </c>
      <c r="M28" s="81">
        <f t="shared" si="0"/>
        <v>1023.1420513267665</v>
      </c>
      <c r="N28" s="63">
        <f t="shared" si="4"/>
        <v>0.44215300403058189</v>
      </c>
      <c r="O28" s="63">
        <f t="shared" si="5"/>
        <v>1599</v>
      </c>
      <c r="P28" s="63">
        <f t="shared" si="6"/>
        <v>702</v>
      </c>
      <c r="Q28" s="63">
        <f t="shared" si="7"/>
        <v>13</v>
      </c>
      <c r="R28" s="71">
        <f t="shared" si="8"/>
        <v>2314</v>
      </c>
      <c r="S28" s="67">
        <f t="shared" si="9"/>
        <v>-1290.8579486732335</v>
      </c>
    </row>
    <row r="29" spans="1:19" ht="14.45" x14ac:dyDescent="0.35">
      <c r="A29" s="10" t="s">
        <v>190</v>
      </c>
      <c r="B29" s="11">
        <v>3</v>
      </c>
      <c r="C29" s="11">
        <v>3</v>
      </c>
      <c r="D29" s="11" t="s">
        <v>32</v>
      </c>
      <c r="E29" s="11">
        <v>10</v>
      </c>
      <c r="F29" s="11">
        <f t="shared" si="10"/>
        <v>21.350553053747966</v>
      </c>
      <c r="G29" s="11">
        <v>1</v>
      </c>
      <c r="H29" s="11">
        <f t="shared" si="1"/>
        <v>1</v>
      </c>
      <c r="I29" s="11">
        <f t="shared" si="2"/>
        <v>39</v>
      </c>
      <c r="J29" s="11">
        <f t="shared" si="3"/>
        <v>39</v>
      </c>
      <c r="K29" s="11">
        <f t="shared" si="11"/>
        <v>10</v>
      </c>
      <c r="L29" s="11">
        <v>6</v>
      </c>
      <c r="M29" s="81">
        <f t="shared" si="0"/>
        <v>1410.4175347305904</v>
      </c>
      <c r="N29" s="63">
        <f t="shared" si="4"/>
        <v>0.58017998137827664</v>
      </c>
      <c r="O29" s="63">
        <f t="shared" si="5"/>
        <v>1599</v>
      </c>
      <c r="P29" s="63">
        <f t="shared" si="6"/>
        <v>702</v>
      </c>
      <c r="Q29" s="63">
        <f t="shared" si="7"/>
        <v>130</v>
      </c>
      <c r="R29" s="71">
        <f t="shared" si="8"/>
        <v>2431</v>
      </c>
      <c r="S29" s="67">
        <f t="shared" si="9"/>
        <v>-1020.5824652694096</v>
      </c>
    </row>
    <row r="30" spans="1:19" ht="14.45" x14ac:dyDescent="0.35">
      <c r="A30" s="10" t="s">
        <v>191</v>
      </c>
      <c r="B30" s="11">
        <v>3</v>
      </c>
      <c r="C30" s="11">
        <v>3</v>
      </c>
      <c r="D30" s="11" t="s">
        <v>32</v>
      </c>
      <c r="E30" s="11">
        <v>100</v>
      </c>
      <c r="F30" s="11">
        <f t="shared" si="10"/>
        <v>74.346943950496254</v>
      </c>
      <c r="G30" s="11">
        <v>1</v>
      </c>
      <c r="H30" s="11">
        <f t="shared" si="1"/>
        <v>5</v>
      </c>
      <c r="I30" s="11">
        <f t="shared" si="2"/>
        <v>39</v>
      </c>
      <c r="J30" s="11">
        <f t="shared" si="3"/>
        <v>195</v>
      </c>
      <c r="K30" s="11">
        <f t="shared" si="11"/>
        <v>100</v>
      </c>
      <c r="L30" s="11">
        <v>6</v>
      </c>
      <c r="M30" s="81">
        <f t="shared" si="0"/>
        <v>4911.3591173697823</v>
      </c>
      <c r="N30" s="63">
        <f t="shared" si="4"/>
        <v>0.76632222146509321</v>
      </c>
      <c r="O30" s="63">
        <f t="shared" si="5"/>
        <v>1599</v>
      </c>
      <c r="P30" s="63">
        <f t="shared" si="6"/>
        <v>3510</v>
      </c>
      <c r="Q30" s="63">
        <f t="shared" si="7"/>
        <v>1300</v>
      </c>
      <c r="R30" s="71">
        <f t="shared" si="8"/>
        <v>6409</v>
      </c>
      <c r="S30" s="67">
        <f t="shared" si="9"/>
        <v>-1497.6408826302177</v>
      </c>
    </row>
    <row r="31" spans="1:19" s="88" customFormat="1" ht="14.45" x14ac:dyDescent="0.35">
      <c r="A31" s="82" t="s">
        <v>192</v>
      </c>
      <c r="B31" s="83">
        <v>3</v>
      </c>
      <c r="C31" s="83">
        <v>3</v>
      </c>
      <c r="D31" s="83" t="s">
        <v>32</v>
      </c>
      <c r="E31" s="83">
        <v>300</v>
      </c>
      <c r="F31" s="83">
        <f t="shared" si="10"/>
        <v>179.73596200367328</v>
      </c>
      <c r="G31" s="83">
        <v>1</v>
      </c>
      <c r="H31" s="83">
        <f t="shared" si="1"/>
        <v>15</v>
      </c>
      <c r="I31" s="83">
        <f t="shared" si="2"/>
        <v>39</v>
      </c>
      <c r="J31" s="83">
        <f t="shared" si="3"/>
        <v>585</v>
      </c>
      <c r="K31" s="83">
        <f t="shared" si="11"/>
        <v>300</v>
      </c>
      <c r="L31" s="83">
        <v>6</v>
      </c>
      <c r="M31" s="84">
        <f t="shared" si="0"/>
        <v>11873.357649962656</v>
      </c>
      <c r="N31" s="85">
        <f t="shared" si="4"/>
        <v>0.74074225778043901</v>
      </c>
      <c r="O31" s="85">
        <f t="shared" si="5"/>
        <v>1599</v>
      </c>
      <c r="P31" s="85">
        <f t="shared" si="6"/>
        <v>10530</v>
      </c>
      <c r="Q31" s="85">
        <f t="shared" si="7"/>
        <v>3900</v>
      </c>
      <c r="R31" s="86">
        <f t="shared" si="8"/>
        <v>16029</v>
      </c>
      <c r="S31" s="87">
        <f t="shared" si="9"/>
        <v>-4155.6423500373439</v>
      </c>
    </row>
    <row r="32" spans="1:19" ht="14.45" x14ac:dyDescent="0.35">
      <c r="A32" s="10" t="s">
        <v>11</v>
      </c>
      <c r="B32" s="25"/>
      <c r="C32" s="25"/>
      <c r="D32" s="25"/>
      <c r="E32" s="25"/>
      <c r="F32" s="25"/>
      <c r="G32" s="11"/>
      <c r="H32" s="25"/>
      <c r="I32" s="25"/>
      <c r="J32" s="25"/>
      <c r="K32" s="25"/>
      <c r="L32" s="25"/>
      <c r="M32" s="49">
        <f t="shared" ref="M32:S32" si="12">SUM(M12:M31)</f>
        <v>44842.644824576193</v>
      </c>
      <c r="N32" s="47">
        <f t="shared" si="12"/>
        <v>11.827690151652005</v>
      </c>
      <c r="O32" s="47">
        <f t="shared" si="12"/>
        <v>12792</v>
      </c>
      <c r="P32" s="47">
        <f t="shared" si="12"/>
        <v>41184</v>
      </c>
      <c r="Q32" s="47">
        <f t="shared" si="12"/>
        <v>21372</v>
      </c>
      <c r="R32" s="49">
        <f t="shared" si="12"/>
        <v>75348</v>
      </c>
      <c r="S32" s="47">
        <f t="shared" si="12"/>
        <v>-30505.355175423814</v>
      </c>
    </row>
    <row r="33" spans="1:19" ht="14.45" x14ac:dyDescent="0.3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4"/>
      <c r="N33" s="73"/>
      <c r="O33" s="73"/>
      <c r="P33" s="73"/>
      <c r="Q33" s="73"/>
      <c r="R33" s="73"/>
      <c r="S33" s="73"/>
    </row>
    <row r="34" spans="1:19" ht="15.6" x14ac:dyDescent="0.35">
      <c r="A34" s="72"/>
      <c r="B34" s="73"/>
      <c r="C34" s="73"/>
      <c r="D34" s="73"/>
      <c r="E34" s="90" t="s">
        <v>32</v>
      </c>
      <c r="F34" s="90">
        <v>10</v>
      </c>
      <c r="G34" s="73"/>
      <c r="H34" s="73"/>
      <c r="I34" s="73"/>
      <c r="J34" s="73"/>
      <c r="K34" s="73"/>
      <c r="L34" s="73"/>
      <c r="M34" s="74"/>
      <c r="N34" s="73"/>
      <c r="O34" s="73"/>
      <c r="P34" s="73"/>
      <c r="Q34" s="73"/>
      <c r="R34" s="73"/>
      <c r="S34" s="73"/>
    </row>
    <row r="35" spans="1:19" ht="15.75" x14ac:dyDescent="0.25">
      <c r="B35" t="s">
        <v>148</v>
      </c>
      <c r="E35" s="90" t="s">
        <v>183</v>
      </c>
      <c r="F35" s="90">
        <v>0.88</v>
      </c>
      <c r="M35" s="12"/>
    </row>
    <row r="36" spans="1:19" x14ac:dyDescent="0.25">
      <c r="A36" s="92" t="s">
        <v>88</v>
      </c>
      <c r="B36" s="94" t="s">
        <v>26</v>
      </c>
      <c r="C36" s="95"/>
      <c r="D36" s="96" t="s">
        <v>30</v>
      </c>
      <c r="E36" s="91" t="s">
        <v>31</v>
      </c>
      <c r="F36" s="66"/>
      <c r="G36" s="91" t="s">
        <v>100</v>
      </c>
      <c r="H36" s="91" t="s">
        <v>100</v>
      </c>
      <c r="I36" s="91" t="s">
        <v>155</v>
      </c>
      <c r="J36" s="91"/>
      <c r="K36" s="91"/>
      <c r="L36" s="66" t="s">
        <v>89</v>
      </c>
      <c r="M36" s="46" t="s">
        <v>90</v>
      </c>
      <c r="N36" s="25"/>
      <c r="O36" s="79" t="s">
        <v>91</v>
      </c>
      <c r="P36" s="79"/>
      <c r="Q36" s="79"/>
      <c r="R36" s="79"/>
    </row>
    <row r="37" spans="1:19" x14ac:dyDescent="0.25">
      <c r="A37" s="93"/>
      <c r="B37" s="8" t="s">
        <v>27</v>
      </c>
      <c r="C37" s="9" t="s">
        <v>28</v>
      </c>
      <c r="D37" s="97"/>
      <c r="E37" s="95"/>
      <c r="F37" s="65"/>
      <c r="G37" s="98"/>
      <c r="H37" s="98"/>
      <c r="I37" s="65" t="s">
        <v>27</v>
      </c>
      <c r="J37" s="65" t="s">
        <v>28</v>
      </c>
      <c r="K37" s="65" t="s">
        <v>94</v>
      </c>
      <c r="L37" s="65"/>
      <c r="M37" s="46"/>
      <c r="N37" s="25"/>
      <c r="O37" s="45" t="s">
        <v>27</v>
      </c>
      <c r="P37" s="45" t="s">
        <v>28</v>
      </c>
      <c r="Q37" s="45" t="s">
        <v>96</v>
      </c>
      <c r="R37" s="45" t="s">
        <v>11</v>
      </c>
    </row>
    <row r="38" spans="1:19" ht="14.45" x14ac:dyDescent="0.35">
      <c r="A38" s="10" t="s">
        <v>160</v>
      </c>
      <c r="B38" s="11">
        <v>0</v>
      </c>
      <c r="C38" s="11">
        <v>1</v>
      </c>
      <c r="D38" s="11">
        <v>0</v>
      </c>
      <c r="E38" s="11">
        <v>1</v>
      </c>
      <c r="F38" s="11">
        <f>(E38+$F$34)^$F$35</f>
        <v>8.249460795278285</v>
      </c>
      <c r="G38" s="11">
        <v>1</v>
      </c>
      <c r="H38" s="11">
        <v>1</v>
      </c>
      <c r="I38" s="11">
        <f>B38*G38*$O$4</f>
        <v>0</v>
      </c>
      <c r="J38" s="11">
        <f>C38*H38*$O$4</f>
        <v>13</v>
      </c>
      <c r="K38" s="11">
        <v>0</v>
      </c>
      <c r="L38" s="11">
        <v>1</v>
      </c>
      <c r="M38" s="81">
        <f>F38*L38*$D$4</f>
        <v>155.37859407906652</v>
      </c>
      <c r="N38" s="25">
        <f>M38/R38</f>
        <v>0.66401108580797652</v>
      </c>
      <c r="O38" s="63">
        <f t="shared" ref="O38:O49" si="13">B38*G38*$O$2*$O$4</f>
        <v>0</v>
      </c>
      <c r="P38" s="63">
        <f t="shared" ref="P38:P49" si="14">C38*H38*$P$2*$O$4</f>
        <v>234</v>
      </c>
      <c r="Q38" s="25">
        <f t="shared" ref="Q38:Q49" si="15">K38*$Q$2</f>
        <v>0</v>
      </c>
      <c r="R38" s="25">
        <f>O38+P38+Q38</f>
        <v>234</v>
      </c>
      <c r="S38" s="12">
        <f>M38-R38</f>
        <v>-78.621405920933483</v>
      </c>
    </row>
    <row r="39" spans="1:19" ht="14.45" x14ac:dyDescent="0.35">
      <c r="A39" s="10" t="s">
        <v>161</v>
      </c>
      <c r="B39" s="11">
        <v>0</v>
      </c>
      <c r="C39" s="11">
        <v>1</v>
      </c>
      <c r="D39" s="11">
        <v>0</v>
      </c>
      <c r="E39" s="11">
        <v>10</v>
      </c>
      <c r="F39" s="11">
        <f t="shared" ref="F39:F57" si="16">(E39+$F$34)^$F$35</f>
        <v>13.96067433165639</v>
      </c>
      <c r="G39" s="11">
        <v>1</v>
      </c>
      <c r="H39" s="11">
        <f t="shared" ref="H39:H41" si="17">ROUND(E39/20,0)</f>
        <v>1</v>
      </c>
      <c r="I39" s="11">
        <f t="shared" ref="I39:I57" si="18">B39*G39*$O$4</f>
        <v>0</v>
      </c>
      <c r="J39" s="11">
        <f t="shared" ref="J39:J57" si="19">C39*H39*$O$4</f>
        <v>13</v>
      </c>
      <c r="K39" s="11">
        <v>0</v>
      </c>
      <c r="L39" s="11">
        <v>1</v>
      </c>
      <c r="M39" s="81">
        <f t="shared" ref="M39:M49" si="20">F39*L39*$D$4</f>
        <v>262.94930103674812</v>
      </c>
      <c r="N39" s="25">
        <f t="shared" ref="N39:N49" si="21">M39/R39</f>
        <v>1.1237149616955049</v>
      </c>
      <c r="O39" s="25">
        <f t="shared" si="13"/>
        <v>0</v>
      </c>
      <c r="P39" s="25">
        <f t="shared" si="14"/>
        <v>234</v>
      </c>
      <c r="Q39" s="25">
        <f t="shared" si="15"/>
        <v>0</v>
      </c>
      <c r="R39" s="25">
        <f t="shared" ref="R39:R57" si="22">O39+P39+Q39</f>
        <v>234</v>
      </c>
      <c r="S39" s="12">
        <f t="shared" ref="S39:S57" si="23">M39-R39</f>
        <v>28.949301036748125</v>
      </c>
    </row>
    <row r="40" spans="1:19" ht="14.45" x14ac:dyDescent="0.35">
      <c r="A40" s="10" t="s">
        <v>162</v>
      </c>
      <c r="B40" s="11">
        <v>0</v>
      </c>
      <c r="C40" s="11">
        <v>1</v>
      </c>
      <c r="D40" s="11">
        <v>0</v>
      </c>
      <c r="E40" s="11">
        <v>100</v>
      </c>
      <c r="F40" s="11">
        <f t="shared" si="16"/>
        <v>62.578559653805236</v>
      </c>
      <c r="G40" s="11">
        <v>1</v>
      </c>
      <c r="H40" s="11">
        <f t="shared" si="17"/>
        <v>5</v>
      </c>
      <c r="I40" s="11">
        <f t="shared" si="18"/>
        <v>0</v>
      </c>
      <c r="J40" s="11">
        <f t="shared" si="19"/>
        <v>65</v>
      </c>
      <c r="K40" s="11">
        <v>0</v>
      </c>
      <c r="L40" s="11">
        <v>1</v>
      </c>
      <c r="M40" s="81">
        <f t="shared" si="20"/>
        <v>1178.6671710794217</v>
      </c>
      <c r="N40" s="25">
        <f t="shared" si="21"/>
        <v>1.0074078385294203</v>
      </c>
      <c r="O40" s="25">
        <f t="shared" si="13"/>
        <v>0</v>
      </c>
      <c r="P40" s="25">
        <f t="shared" si="14"/>
        <v>1170</v>
      </c>
      <c r="Q40" s="25">
        <f t="shared" si="15"/>
        <v>0</v>
      </c>
      <c r="R40" s="25">
        <f t="shared" si="22"/>
        <v>1170</v>
      </c>
      <c r="S40" s="12">
        <f t="shared" si="23"/>
        <v>8.6671710794216779</v>
      </c>
    </row>
    <row r="41" spans="1:19" s="88" customFormat="1" ht="14.45" x14ac:dyDescent="0.35">
      <c r="A41" s="82" t="s">
        <v>163</v>
      </c>
      <c r="B41" s="83">
        <v>0</v>
      </c>
      <c r="C41" s="83">
        <v>1</v>
      </c>
      <c r="D41" s="83">
        <v>0</v>
      </c>
      <c r="E41" s="83">
        <v>300</v>
      </c>
      <c r="F41" s="83">
        <f t="shared" si="16"/>
        <v>155.7393259015588</v>
      </c>
      <c r="G41" s="83">
        <v>1</v>
      </c>
      <c r="H41" s="83">
        <f t="shared" si="17"/>
        <v>15</v>
      </c>
      <c r="I41" s="83">
        <f t="shared" si="18"/>
        <v>0</v>
      </c>
      <c r="J41" s="83">
        <f t="shared" si="19"/>
        <v>195</v>
      </c>
      <c r="K41" s="83">
        <v>0</v>
      </c>
      <c r="L41" s="83">
        <v>1</v>
      </c>
      <c r="M41" s="84">
        <f t="shared" si="20"/>
        <v>2933.3502033558602</v>
      </c>
      <c r="N41" s="85">
        <f t="shared" si="21"/>
        <v>0.83571230864839319</v>
      </c>
      <c r="O41" s="85">
        <f t="shared" si="13"/>
        <v>0</v>
      </c>
      <c r="P41" s="85">
        <f t="shared" si="14"/>
        <v>3510</v>
      </c>
      <c r="Q41" s="85">
        <f t="shared" si="15"/>
        <v>0</v>
      </c>
      <c r="R41" s="85">
        <f t="shared" si="22"/>
        <v>3510</v>
      </c>
      <c r="S41" s="87">
        <f t="shared" si="23"/>
        <v>-576.64979664413977</v>
      </c>
    </row>
    <row r="42" spans="1:19" ht="14.45" x14ac:dyDescent="0.35">
      <c r="A42" s="10" t="s">
        <v>164</v>
      </c>
      <c r="B42" s="11">
        <v>0</v>
      </c>
      <c r="C42" s="11">
        <v>1</v>
      </c>
      <c r="D42" s="11" t="s">
        <v>32</v>
      </c>
      <c r="E42" s="11">
        <v>1</v>
      </c>
      <c r="F42" s="11">
        <f t="shared" si="16"/>
        <v>8.249460795278285</v>
      </c>
      <c r="G42" s="11">
        <v>1</v>
      </c>
      <c r="H42" s="11">
        <v>1</v>
      </c>
      <c r="I42" s="11">
        <f t="shared" si="18"/>
        <v>0</v>
      </c>
      <c r="J42" s="11">
        <f t="shared" si="19"/>
        <v>13</v>
      </c>
      <c r="K42" s="11">
        <f t="shared" ref="K42:K57" si="24">E42</f>
        <v>1</v>
      </c>
      <c r="L42" s="11">
        <v>1</v>
      </c>
      <c r="M42" s="81">
        <f t="shared" si="20"/>
        <v>155.37859407906652</v>
      </c>
      <c r="N42" s="25">
        <f t="shared" si="21"/>
        <v>0.62906313392334623</v>
      </c>
      <c r="O42" s="25">
        <f t="shared" si="13"/>
        <v>0</v>
      </c>
      <c r="P42" s="25">
        <f t="shared" si="14"/>
        <v>234</v>
      </c>
      <c r="Q42" s="25">
        <f t="shared" si="15"/>
        <v>13</v>
      </c>
      <c r="R42" s="25">
        <f t="shared" si="22"/>
        <v>247</v>
      </c>
      <c r="S42" s="12">
        <f t="shared" si="23"/>
        <v>-91.621405920933483</v>
      </c>
    </row>
    <row r="43" spans="1:19" ht="14.45" x14ac:dyDescent="0.35">
      <c r="A43" s="10" t="s">
        <v>165</v>
      </c>
      <c r="B43" s="11">
        <v>0</v>
      </c>
      <c r="C43" s="11">
        <v>1</v>
      </c>
      <c r="D43" s="11" t="s">
        <v>32</v>
      </c>
      <c r="E43" s="11">
        <v>10</v>
      </c>
      <c r="F43" s="11">
        <f t="shared" si="16"/>
        <v>13.96067433165639</v>
      </c>
      <c r="G43" s="11">
        <v>1</v>
      </c>
      <c r="H43" s="11">
        <f t="shared" ref="H43:H45" si="25">ROUND(E43/20,0)</f>
        <v>1</v>
      </c>
      <c r="I43" s="11">
        <f t="shared" si="18"/>
        <v>0</v>
      </c>
      <c r="J43" s="11">
        <f t="shared" si="19"/>
        <v>13</v>
      </c>
      <c r="K43" s="11">
        <f t="shared" si="24"/>
        <v>10</v>
      </c>
      <c r="L43" s="11">
        <v>1</v>
      </c>
      <c r="M43" s="81">
        <f t="shared" si="20"/>
        <v>262.94930103674812</v>
      </c>
      <c r="N43" s="25">
        <f t="shared" si="21"/>
        <v>0.72238818966139595</v>
      </c>
      <c r="O43" s="25">
        <f t="shared" si="13"/>
        <v>0</v>
      </c>
      <c r="P43" s="25">
        <f t="shared" si="14"/>
        <v>234</v>
      </c>
      <c r="Q43" s="25">
        <f t="shared" si="15"/>
        <v>130</v>
      </c>
      <c r="R43" s="25">
        <f t="shared" si="22"/>
        <v>364</v>
      </c>
      <c r="S43" s="12">
        <f t="shared" si="23"/>
        <v>-101.05069896325188</v>
      </c>
    </row>
    <row r="44" spans="1:19" ht="14.45" x14ac:dyDescent="0.35">
      <c r="A44" s="10" t="s">
        <v>166</v>
      </c>
      <c r="B44" s="11">
        <v>0</v>
      </c>
      <c r="C44" s="11">
        <v>1</v>
      </c>
      <c r="D44" s="11" t="s">
        <v>32</v>
      </c>
      <c r="E44" s="11">
        <v>100</v>
      </c>
      <c r="F44" s="11">
        <f t="shared" si="16"/>
        <v>62.578559653805236</v>
      </c>
      <c r="G44" s="11">
        <v>1</v>
      </c>
      <c r="H44" s="11">
        <f t="shared" si="25"/>
        <v>5</v>
      </c>
      <c r="I44" s="11">
        <f t="shared" si="18"/>
        <v>0</v>
      </c>
      <c r="J44" s="11">
        <f t="shared" si="19"/>
        <v>65</v>
      </c>
      <c r="K44" s="11">
        <f t="shared" si="24"/>
        <v>100</v>
      </c>
      <c r="L44" s="11">
        <v>1</v>
      </c>
      <c r="M44" s="81">
        <f t="shared" si="20"/>
        <v>1178.6671710794217</v>
      </c>
      <c r="N44" s="25">
        <f t="shared" si="21"/>
        <v>0.47719318667183064</v>
      </c>
      <c r="O44" s="25">
        <f t="shared" si="13"/>
        <v>0</v>
      </c>
      <c r="P44" s="25">
        <f t="shared" si="14"/>
        <v>1170</v>
      </c>
      <c r="Q44" s="25">
        <f t="shared" si="15"/>
        <v>1300</v>
      </c>
      <c r="R44" s="25">
        <f t="shared" si="22"/>
        <v>2470</v>
      </c>
      <c r="S44" s="12">
        <f t="shared" si="23"/>
        <v>-1291.3328289205783</v>
      </c>
    </row>
    <row r="45" spans="1:19" s="88" customFormat="1" ht="14.45" x14ac:dyDescent="0.35">
      <c r="A45" s="82" t="s">
        <v>167</v>
      </c>
      <c r="B45" s="83">
        <v>0</v>
      </c>
      <c r="C45" s="83">
        <v>1</v>
      </c>
      <c r="D45" s="83" t="s">
        <v>32</v>
      </c>
      <c r="E45" s="83">
        <v>300</v>
      </c>
      <c r="F45" s="83">
        <f t="shared" si="16"/>
        <v>155.7393259015588</v>
      </c>
      <c r="G45" s="83">
        <v>1</v>
      </c>
      <c r="H45" s="83">
        <f t="shared" si="25"/>
        <v>15</v>
      </c>
      <c r="I45" s="83">
        <f t="shared" si="18"/>
        <v>0</v>
      </c>
      <c r="J45" s="83">
        <f t="shared" si="19"/>
        <v>195</v>
      </c>
      <c r="K45" s="83">
        <f t="shared" si="24"/>
        <v>300</v>
      </c>
      <c r="L45" s="83">
        <v>1</v>
      </c>
      <c r="M45" s="84">
        <f t="shared" si="20"/>
        <v>2933.3502033558602</v>
      </c>
      <c r="N45" s="85">
        <f t="shared" si="21"/>
        <v>0.3958637251492389</v>
      </c>
      <c r="O45" s="85">
        <f t="shared" si="13"/>
        <v>0</v>
      </c>
      <c r="P45" s="85">
        <f t="shared" si="14"/>
        <v>3510</v>
      </c>
      <c r="Q45" s="85">
        <f t="shared" si="15"/>
        <v>3900</v>
      </c>
      <c r="R45" s="85">
        <f t="shared" si="22"/>
        <v>7410</v>
      </c>
      <c r="S45" s="87">
        <f t="shared" si="23"/>
        <v>-4476.6497966441402</v>
      </c>
    </row>
    <row r="46" spans="1:19" ht="14.45" x14ac:dyDescent="0.35">
      <c r="A46" s="10" t="s">
        <v>168</v>
      </c>
      <c r="B46" s="11">
        <v>1</v>
      </c>
      <c r="C46" s="11">
        <v>1</v>
      </c>
      <c r="D46" s="11" t="s">
        <v>32</v>
      </c>
      <c r="E46" s="11">
        <v>1</v>
      </c>
      <c r="F46" s="11">
        <f t="shared" si="16"/>
        <v>8.249460795278285</v>
      </c>
      <c r="G46" s="11">
        <v>1</v>
      </c>
      <c r="H46" s="11">
        <v>1</v>
      </c>
      <c r="I46" s="11">
        <f t="shared" si="18"/>
        <v>13</v>
      </c>
      <c r="J46" s="11">
        <f t="shared" si="19"/>
        <v>13</v>
      </c>
      <c r="K46" s="11">
        <f t="shared" si="24"/>
        <v>1</v>
      </c>
      <c r="L46" s="11">
        <v>2</v>
      </c>
      <c r="M46" s="81">
        <f t="shared" si="20"/>
        <v>310.75718815813303</v>
      </c>
      <c r="N46" s="25">
        <f t="shared" si="21"/>
        <v>0.39840665148478593</v>
      </c>
      <c r="O46" s="25">
        <f t="shared" si="13"/>
        <v>533</v>
      </c>
      <c r="P46" s="25">
        <f t="shared" si="14"/>
        <v>234</v>
      </c>
      <c r="Q46" s="25">
        <f t="shared" si="15"/>
        <v>13</v>
      </c>
      <c r="R46" s="25">
        <f t="shared" si="22"/>
        <v>780</v>
      </c>
      <c r="S46" s="12">
        <f t="shared" si="23"/>
        <v>-469.24281184186697</v>
      </c>
    </row>
    <row r="47" spans="1:19" ht="14.45" x14ac:dyDescent="0.35">
      <c r="A47" s="10" t="s">
        <v>169</v>
      </c>
      <c r="B47" s="11">
        <v>1</v>
      </c>
      <c r="C47" s="11">
        <v>1</v>
      </c>
      <c r="D47" s="11" t="s">
        <v>32</v>
      </c>
      <c r="E47" s="11">
        <v>10</v>
      </c>
      <c r="F47" s="11">
        <f t="shared" si="16"/>
        <v>13.96067433165639</v>
      </c>
      <c r="G47" s="11">
        <v>1</v>
      </c>
      <c r="H47" s="11">
        <f t="shared" ref="H47:H49" si="26">ROUND(E47/20,0)</f>
        <v>1</v>
      </c>
      <c r="I47" s="11">
        <f t="shared" si="18"/>
        <v>13</v>
      </c>
      <c r="J47" s="11">
        <f t="shared" si="19"/>
        <v>13</v>
      </c>
      <c r="K47" s="11">
        <f t="shared" si="24"/>
        <v>10</v>
      </c>
      <c r="L47" s="11">
        <v>2</v>
      </c>
      <c r="M47" s="81">
        <f t="shared" si="20"/>
        <v>525.89860207349625</v>
      </c>
      <c r="N47" s="25">
        <f t="shared" si="21"/>
        <v>0.58628606697156771</v>
      </c>
      <c r="O47" s="25">
        <f t="shared" si="13"/>
        <v>533</v>
      </c>
      <c r="P47" s="25">
        <f t="shared" si="14"/>
        <v>234</v>
      </c>
      <c r="Q47" s="25">
        <f t="shared" si="15"/>
        <v>130</v>
      </c>
      <c r="R47" s="25">
        <f t="shared" si="22"/>
        <v>897</v>
      </c>
      <c r="S47" s="12">
        <f t="shared" si="23"/>
        <v>-371.10139792650375</v>
      </c>
    </row>
    <row r="48" spans="1:19" ht="14.45" x14ac:dyDescent="0.35">
      <c r="A48" s="10" t="s">
        <v>170</v>
      </c>
      <c r="B48" s="11">
        <v>1</v>
      </c>
      <c r="C48" s="11">
        <v>1</v>
      </c>
      <c r="D48" s="11" t="s">
        <v>32</v>
      </c>
      <c r="E48" s="11">
        <v>100</v>
      </c>
      <c r="F48" s="11">
        <f t="shared" si="16"/>
        <v>62.578559653805236</v>
      </c>
      <c r="G48" s="11">
        <v>1</v>
      </c>
      <c r="H48" s="11">
        <f t="shared" si="26"/>
        <v>5</v>
      </c>
      <c r="I48" s="11">
        <f t="shared" si="18"/>
        <v>13</v>
      </c>
      <c r="J48" s="11">
        <f t="shared" si="19"/>
        <v>65</v>
      </c>
      <c r="K48" s="11">
        <f t="shared" si="24"/>
        <v>100</v>
      </c>
      <c r="L48" s="11">
        <v>2</v>
      </c>
      <c r="M48" s="81">
        <f t="shared" si="20"/>
        <v>2357.3343421588434</v>
      </c>
      <c r="N48" s="25">
        <f t="shared" si="21"/>
        <v>0.78499312093201579</v>
      </c>
      <c r="O48" s="25">
        <f t="shared" si="13"/>
        <v>533</v>
      </c>
      <c r="P48" s="25">
        <f t="shared" si="14"/>
        <v>1170</v>
      </c>
      <c r="Q48" s="25">
        <f t="shared" si="15"/>
        <v>1300</v>
      </c>
      <c r="R48" s="25">
        <f t="shared" si="22"/>
        <v>3003</v>
      </c>
      <c r="S48" s="12">
        <f t="shared" si="23"/>
        <v>-645.66565784115664</v>
      </c>
    </row>
    <row r="49" spans="1:19" s="88" customFormat="1" ht="14.45" x14ac:dyDescent="0.35">
      <c r="A49" s="82" t="s">
        <v>171</v>
      </c>
      <c r="B49" s="83">
        <v>1</v>
      </c>
      <c r="C49" s="83">
        <v>1</v>
      </c>
      <c r="D49" s="83" t="s">
        <v>32</v>
      </c>
      <c r="E49" s="83">
        <v>300</v>
      </c>
      <c r="F49" s="83">
        <f t="shared" si="16"/>
        <v>155.7393259015588</v>
      </c>
      <c r="G49" s="83">
        <v>1</v>
      </c>
      <c r="H49" s="83">
        <f t="shared" si="26"/>
        <v>15</v>
      </c>
      <c r="I49" s="83">
        <f t="shared" si="18"/>
        <v>13</v>
      </c>
      <c r="J49" s="83">
        <f t="shared" si="19"/>
        <v>195</v>
      </c>
      <c r="K49" s="83">
        <f t="shared" si="24"/>
        <v>300</v>
      </c>
      <c r="L49" s="83">
        <v>2</v>
      </c>
      <c r="M49" s="84">
        <f t="shared" si="20"/>
        <v>5866.7004067117205</v>
      </c>
      <c r="N49" s="85">
        <f t="shared" si="21"/>
        <v>0.73860007638319536</v>
      </c>
      <c r="O49" s="85">
        <f t="shared" si="13"/>
        <v>533</v>
      </c>
      <c r="P49" s="85">
        <f t="shared" si="14"/>
        <v>3510</v>
      </c>
      <c r="Q49" s="85">
        <f t="shared" si="15"/>
        <v>3900</v>
      </c>
      <c r="R49" s="85">
        <f t="shared" si="22"/>
        <v>7943</v>
      </c>
      <c r="S49" s="87">
        <f t="shared" si="23"/>
        <v>-2076.2995932882795</v>
      </c>
    </row>
    <row r="50" spans="1:19" ht="14.45" x14ac:dyDescent="0.35">
      <c r="A50" s="10" t="s">
        <v>172</v>
      </c>
      <c r="B50" s="11">
        <v>2</v>
      </c>
      <c r="C50" s="11">
        <v>2</v>
      </c>
      <c r="D50" s="11" t="s">
        <v>32</v>
      </c>
      <c r="E50" s="11">
        <v>1</v>
      </c>
      <c r="F50" s="11">
        <f t="shared" si="16"/>
        <v>8.249460795278285</v>
      </c>
      <c r="G50" s="11">
        <v>1</v>
      </c>
      <c r="H50" s="11">
        <v>1</v>
      </c>
      <c r="I50" s="11">
        <f t="shared" si="18"/>
        <v>26</v>
      </c>
      <c r="J50" s="11">
        <f t="shared" si="19"/>
        <v>26</v>
      </c>
      <c r="K50" s="11">
        <f t="shared" si="24"/>
        <v>1</v>
      </c>
      <c r="L50" s="11">
        <v>4</v>
      </c>
      <c r="M50" s="81">
        <f>F50*L50*$D$4</f>
        <v>621.51437631626607</v>
      </c>
      <c r="N50" s="25">
        <f>M50/R50</f>
        <v>0.40175460653927991</v>
      </c>
      <c r="O50" s="25">
        <f t="shared" ref="O50:O57" si="27">B50*G50*$O$2*$O$4</f>
        <v>1066</v>
      </c>
      <c r="P50" s="25">
        <f t="shared" ref="P50:P57" si="28">C50*H50*$P$2*$O$4</f>
        <v>468</v>
      </c>
      <c r="Q50" s="25">
        <f t="shared" ref="Q50:Q57" si="29">K50*$Q$2</f>
        <v>13</v>
      </c>
      <c r="R50" s="25">
        <f t="shared" si="22"/>
        <v>1547</v>
      </c>
      <c r="S50" s="12">
        <f t="shared" si="23"/>
        <v>-925.48562368373393</v>
      </c>
    </row>
    <row r="51" spans="1:19" ht="14.45" x14ac:dyDescent="0.35">
      <c r="A51" s="10" t="s">
        <v>186</v>
      </c>
      <c r="B51" s="11">
        <v>2</v>
      </c>
      <c r="C51" s="11">
        <v>2</v>
      </c>
      <c r="D51" s="11" t="s">
        <v>32</v>
      </c>
      <c r="E51" s="11">
        <v>10</v>
      </c>
      <c r="F51" s="11">
        <f t="shared" si="16"/>
        <v>13.96067433165639</v>
      </c>
      <c r="G51" s="11">
        <v>1</v>
      </c>
      <c r="H51" s="11">
        <f t="shared" ref="H51:H53" si="30">ROUND(E51/20,0)</f>
        <v>1</v>
      </c>
      <c r="I51" s="11">
        <f t="shared" si="18"/>
        <v>26</v>
      </c>
      <c r="J51" s="11">
        <f t="shared" si="19"/>
        <v>26</v>
      </c>
      <c r="K51" s="11">
        <f t="shared" si="24"/>
        <v>10</v>
      </c>
      <c r="L51" s="11">
        <v>4</v>
      </c>
      <c r="M51" s="81">
        <f t="shared" ref="M51:M57" si="31">F51*L51*$D$4</f>
        <v>1051.7972041469925</v>
      </c>
      <c r="N51" s="25">
        <f t="shared" ref="N51:N57" si="32">M51/R51</f>
        <v>0.6320896659537214</v>
      </c>
      <c r="O51" s="25">
        <f t="shared" si="27"/>
        <v>1066</v>
      </c>
      <c r="P51" s="25">
        <f t="shared" si="28"/>
        <v>468</v>
      </c>
      <c r="Q51" s="25">
        <f t="shared" si="29"/>
        <v>130</v>
      </c>
      <c r="R51" s="25">
        <f t="shared" si="22"/>
        <v>1664</v>
      </c>
      <c r="S51" s="12">
        <f t="shared" si="23"/>
        <v>-612.2027958530075</v>
      </c>
    </row>
    <row r="52" spans="1:19" ht="14.45" x14ac:dyDescent="0.35">
      <c r="A52" s="10" t="s">
        <v>187</v>
      </c>
      <c r="B52" s="11">
        <v>2</v>
      </c>
      <c r="C52" s="11">
        <v>2</v>
      </c>
      <c r="D52" s="11" t="s">
        <v>32</v>
      </c>
      <c r="E52" s="11">
        <v>100</v>
      </c>
      <c r="F52" s="11">
        <f t="shared" si="16"/>
        <v>62.578559653805236</v>
      </c>
      <c r="G52" s="11">
        <v>1</v>
      </c>
      <c r="H52" s="11">
        <f t="shared" si="30"/>
        <v>5</v>
      </c>
      <c r="I52" s="11">
        <f t="shared" si="18"/>
        <v>26</v>
      </c>
      <c r="J52" s="11">
        <f t="shared" si="19"/>
        <v>130</v>
      </c>
      <c r="K52" s="11">
        <f t="shared" si="24"/>
        <v>100</v>
      </c>
      <c r="L52" s="11">
        <v>4</v>
      </c>
      <c r="M52" s="81">
        <f t="shared" si="31"/>
        <v>4714.6686843176867</v>
      </c>
      <c r="N52" s="25">
        <f t="shared" si="32"/>
        <v>1.0018420493662743</v>
      </c>
      <c r="O52" s="25">
        <f t="shared" si="27"/>
        <v>1066</v>
      </c>
      <c r="P52" s="25">
        <f t="shared" si="28"/>
        <v>2340</v>
      </c>
      <c r="Q52" s="25">
        <f t="shared" si="29"/>
        <v>1300</v>
      </c>
      <c r="R52" s="25">
        <f t="shared" si="22"/>
        <v>4706</v>
      </c>
      <c r="S52" s="12">
        <f t="shared" si="23"/>
        <v>8.6686843176867114</v>
      </c>
    </row>
    <row r="53" spans="1:19" s="88" customFormat="1" x14ac:dyDescent="0.25">
      <c r="A53" s="82" t="s">
        <v>188</v>
      </c>
      <c r="B53" s="83">
        <v>2</v>
      </c>
      <c r="C53" s="83">
        <v>2</v>
      </c>
      <c r="D53" s="83" t="s">
        <v>32</v>
      </c>
      <c r="E53" s="83">
        <v>300</v>
      </c>
      <c r="F53" s="83">
        <f t="shared" si="16"/>
        <v>155.7393259015588</v>
      </c>
      <c r="G53" s="83">
        <v>1</v>
      </c>
      <c r="H53" s="83">
        <f t="shared" si="30"/>
        <v>15</v>
      </c>
      <c r="I53" s="83">
        <f t="shared" si="18"/>
        <v>26</v>
      </c>
      <c r="J53" s="83">
        <f t="shared" si="19"/>
        <v>390</v>
      </c>
      <c r="K53" s="83">
        <f t="shared" si="24"/>
        <v>300</v>
      </c>
      <c r="L53" s="83">
        <v>4</v>
      </c>
      <c r="M53" s="84">
        <f t="shared" si="31"/>
        <v>11733.400813423441</v>
      </c>
      <c r="N53" s="85">
        <f t="shared" si="32"/>
        <v>0.97892548084627407</v>
      </c>
      <c r="O53" s="85">
        <f t="shared" si="27"/>
        <v>1066</v>
      </c>
      <c r="P53" s="85">
        <f t="shared" si="28"/>
        <v>7020</v>
      </c>
      <c r="Q53" s="85">
        <f t="shared" si="29"/>
        <v>3900</v>
      </c>
      <c r="R53" s="85">
        <f t="shared" si="22"/>
        <v>11986</v>
      </c>
      <c r="S53" s="87">
        <f t="shared" si="23"/>
        <v>-252.59918657655908</v>
      </c>
    </row>
    <row r="54" spans="1:19" x14ac:dyDescent="0.25">
      <c r="A54" s="10" t="s">
        <v>189</v>
      </c>
      <c r="B54" s="11">
        <v>3</v>
      </c>
      <c r="C54" s="11">
        <v>3</v>
      </c>
      <c r="D54" s="11" t="s">
        <v>32</v>
      </c>
      <c r="E54" s="11">
        <v>1</v>
      </c>
      <c r="F54" s="11">
        <f t="shared" si="16"/>
        <v>8.249460795278285</v>
      </c>
      <c r="G54" s="11">
        <v>1</v>
      </c>
      <c r="H54" s="11">
        <v>1</v>
      </c>
      <c r="I54" s="11">
        <f t="shared" si="18"/>
        <v>39</v>
      </c>
      <c r="J54" s="11">
        <f t="shared" si="19"/>
        <v>39</v>
      </c>
      <c r="K54" s="11">
        <f t="shared" si="24"/>
        <v>1</v>
      </c>
      <c r="L54" s="11">
        <v>6</v>
      </c>
      <c r="M54" s="81">
        <f t="shared" si="31"/>
        <v>932.27156447439904</v>
      </c>
      <c r="N54" s="25">
        <f t="shared" si="32"/>
        <v>0.40288313071495208</v>
      </c>
      <c r="O54" s="25">
        <f t="shared" si="27"/>
        <v>1599</v>
      </c>
      <c r="P54" s="25">
        <f t="shared" si="28"/>
        <v>702</v>
      </c>
      <c r="Q54" s="25">
        <f t="shared" si="29"/>
        <v>13</v>
      </c>
      <c r="R54" s="25">
        <f t="shared" si="22"/>
        <v>2314</v>
      </c>
      <c r="S54" s="12">
        <f t="shared" si="23"/>
        <v>-1381.7284355256011</v>
      </c>
    </row>
    <row r="55" spans="1:19" x14ac:dyDescent="0.25">
      <c r="A55" s="10" t="s">
        <v>190</v>
      </c>
      <c r="B55" s="11">
        <v>3</v>
      </c>
      <c r="C55" s="11">
        <v>3</v>
      </c>
      <c r="D55" s="11" t="s">
        <v>32</v>
      </c>
      <c r="E55" s="11">
        <v>10</v>
      </c>
      <c r="F55" s="11">
        <f t="shared" si="16"/>
        <v>13.96067433165639</v>
      </c>
      <c r="G55" s="11">
        <v>1</v>
      </c>
      <c r="H55" s="11">
        <f t="shared" ref="H55:H57" si="33">ROUND(E55/20,0)</f>
        <v>1</v>
      </c>
      <c r="I55" s="11">
        <f t="shared" si="18"/>
        <v>39</v>
      </c>
      <c r="J55" s="11">
        <f t="shared" si="19"/>
        <v>39</v>
      </c>
      <c r="K55" s="11">
        <f t="shared" si="24"/>
        <v>10</v>
      </c>
      <c r="L55" s="11">
        <v>6</v>
      </c>
      <c r="M55" s="81">
        <f t="shared" si="31"/>
        <v>1577.6958062204887</v>
      </c>
      <c r="N55" s="25">
        <f t="shared" si="32"/>
        <v>0.64899045916104026</v>
      </c>
      <c r="O55" s="25">
        <f t="shared" si="27"/>
        <v>1599</v>
      </c>
      <c r="P55" s="25">
        <f t="shared" si="28"/>
        <v>702</v>
      </c>
      <c r="Q55" s="25">
        <f t="shared" si="29"/>
        <v>130</v>
      </c>
      <c r="R55" s="25">
        <f t="shared" si="22"/>
        <v>2431</v>
      </c>
      <c r="S55" s="12">
        <f t="shared" si="23"/>
        <v>-853.30419377951125</v>
      </c>
    </row>
    <row r="56" spans="1:19" x14ac:dyDescent="0.25">
      <c r="A56" s="10" t="s">
        <v>191</v>
      </c>
      <c r="B56" s="11">
        <v>3</v>
      </c>
      <c r="C56" s="11">
        <v>3</v>
      </c>
      <c r="D56" s="11" t="s">
        <v>32</v>
      </c>
      <c r="E56" s="11">
        <v>100</v>
      </c>
      <c r="F56" s="11">
        <f t="shared" si="16"/>
        <v>62.578559653805236</v>
      </c>
      <c r="G56" s="11">
        <v>1</v>
      </c>
      <c r="H56" s="11">
        <f t="shared" si="33"/>
        <v>5</v>
      </c>
      <c r="I56" s="11">
        <f t="shared" si="18"/>
        <v>39</v>
      </c>
      <c r="J56" s="11">
        <f t="shared" si="19"/>
        <v>195</v>
      </c>
      <c r="K56" s="11">
        <f t="shared" si="24"/>
        <v>100</v>
      </c>
      <c r="L56" s="11">
        <v>6</v>
      </c>
      <c r="M56" s="81">
        <f t="shared" si="31"/>
        <v>7072.0030264765301</v>
      </c>
      <c r="N56" s="25">
        <f t="shared" si="32"/>
        <v>1.1034487480849633</v>
      </c>
      <c r="O56" s="25">
        <f t="shared" si="27"/>
        <v>1599</v>
      </c>
      <c r="P56" s="25">
        <f t="shared" si="28"/>
        <v>3510</v>
      </c>
      <c r="Q56" s="25">
        <f t="shared" si="29"/>
        <v>1300</v>
      </c>
      <c r="R56" s="25">
        <f t="shared" si="22"/>
        <v>6409</v>
      </c>
      <c r="S56" s="12">
        <f t="shared" si="23"/>
        <v>663.00302647653007</v>
      </c>
    </row>
    <row r="57" spans="1:19" s="88" customFormat="1" x14ac:dyDescent="0.25">
      <c r="A57" s="82" t="s">
        <v>192</v>
      </c>
      <c r="B57" s="83">
        <v>3</v>
      </c>
      <c r="C57" s="83">
        <v>3</v>
      </c>
      <c r="D57" s="83" t="s">
        <v>32</v>
      </c>
      <c r="E57" s="83">
        <v>300</v>
      </c>
      <c r="F57" s="83">
        <f t="shared" si="16"/>
        <v>155.7393259015588</v>
      </c>
      <c r="G57" s="83">
        <v>1</v>
      </c>
      <c r="H57" s="83">
        <f t="shared" si="33"/>
        <v>15</v>
      </c>
      <c r="I57" s="83">
        <f t="shared" si="18"/>
        <v>39</v>
      </c>
      <c r="J57" s="83">
        <f t="shared" si="19"/>
        <v>585</v>
      </c>
      <c r="K57" s="83">
        <f t="shared" si="24"/>
        <v>300</v>
      </c>
      <c r="L57" s="83">
        <v>6</v>
      </c>
      <c r="M57" s="84">
        <f t="shared" si="31"/>
        <v>17600.101220135162</v>
      </c>
      <c r="N57" s="85">
        <f t="shared" si="32"/>
        <v>1.098016171946794</v>
      </c>
      <c r="O57" s="85">
        <f t="shared" si="27"/>
        <v>1599</v>
      </c>
      <c r="P57" s="85">
        <f t="shared" si="28"/>
        <v>10530</v>
      </c>
      <c r="Q57" s="85">
        <f t="shared" si="29"/>
        <v>3900</v>
      </c>
      <c r="R57" s="85">
        <f t="shared" si="22"/>
        <v>16029</v>
      </c>
      <c r="S57" s="87">
        <f t="shared" si="23"/>
        <v>1571.1012201351623</v>
      </c>
    </row>
    <row r="58" spans="1:19" x14ac:dyDescent="0.25">
      <c r="A58" s="10" t="s">
        <v>11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47">
        <f t="shared" ref="M58:S58" si="34">SUM(M38:M57)</f>
        <v>63424.833773715356</v>
      </c>
      <c r="N58" s="47">
        <f t="shared" si="34"/>
        <v>14.631590658471971</v>
      </c>
      <c r="O58" s="47">
        <f t="shared" si="34"/>
        <v>12792</v>
      </c>
      <c r="P58" s="47">
        <f t="shared" si="34"/>
        <v>41184</v>
      </c>
      <c r="Q58" s="47">
        <f t="shared" si="34"/>
        <v>21372</v>
      </c>
      <c r="R58" s="47">
        <f t="shared" si="34"/>
        <v>75348</v>
      </c>
      <c r="S58" s="47">
        <f t="shared" si="34"/>
        <v>-11923.166226284646</v>
      </c>
    </row>
    <row r="59" spans="1:19" x14ac:dyDescent="0.2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4"/>
      <c r="N59" s="73"/>
      <c r="O59" s="74"/>
      <c r="P59" s="74"/>
      <c r="Q59" s="74"/>
      <c r="R59" s="74"/>
      <c r="S59" s="74"/>
    </row>
    <row r="60" spans="1:19" x14ac:dyDescent="0.2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4"/>
      <c r="N60" s="73"/>
      <c r="O60" s="74"/>
      <c r="P60" s="74"/>
      <c r="Q60" s="74"/>
      <c r="R60" s="74"/>
      <c r="S60" s="74"/>
    </row>
    <row r="61" spans="1:19" x14ac:dyDescent="0.2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4"/>
      <c r="N61" s="73"/>
      <c r="O61" s="74"/>
      <c r="P61" s="74"/>
      <c r="Q61" s="74"/>
      <c r="R61" s="74"/>
      <c r="S61" s="74"/>
    </row>
    <row r="62" spans="1:19" ht="15.75" x14ac:dyDescent="0.25">
      <c r="B62" s="12"/>
      <c r="E62" s="90" t="s">
        <v>32</v>
      </c>
      <c r="F62" s="90">
        <v>5</v>
      </c>
      <c r="L62" s="24"/>
    </row>
    <row r="63" spans="1:19" ht="15.75" x14ac:dyDescent="0.25">
      <c r="B63" t="s">
        <v>184</v>
      </c>
      <c r="E63" s="90" t="s">
        <v>183</v>
      </c>
      <c r="F63" s="90">
        <v>0.86</v>
      </c>
      <c r="M63" s="12"/>
    </row>
    <row r="64" spans="1:19" x14ac:dyDescent="0.25">
      <c r="A64" s="92" t="s">
        <v>88</v>
      </c>
      <c r="B64" s="94" t="s">
        <v>26</v>
      </c>
      <c r="C64" s="95"/>
      <c r="D64" s="96" t="s">
        <v>30</v>
      </c>
      <c r="E64" s="91" t="s">
        <v>31</v>
      </c>
      <c r="F64" s="66"/>
      <c r="G64" s="91" t="s">
        <v>100</v>
      </c>
      <c r="H64" s="91" t="s">
        <v>100</v>
      </c>
      <c r="I64" s="91" t="s">
        <v>155</v>
      </c>
      <c r="J64" s="91"/>
      <c r="K64" s="91"/>
      <c r="L64" s="66" t="s">
        <v>89</v>
      </c>
      <c r="M64" s="46" t="s">
        <v>90</v>
      </c>
      <c r="N64" s="25"/>
      <c r="O64" s="79" t="s">
        <v>91</v>
      </c>
      <c r="P64" s="79"/>
      <c r="Q64" s="79"/>
      <c r="R64" s="79"/>
    </row>
    <row r="65" spans="1:19" x14ac:dyDescent="0.25">
      <c r="A65" s="93"/>
      <c r="B65" s="8" t="s">
        <v>27</v>
      </c>
      <c r="C65" s="9" t="s">
        <v>28</v>
      </c>
      <c r="D65" s="97"/>
      <c r="E65" s="95"/>
      <c r="F65" s="65"/>
      <c r="G65" s="98"/>
      <c r="H65" s="98"/>
      <c r="I65" s="65" t="s">
        <v>27</v>
      </c>
      <c r="J65" s="65" t="s">
        <v>28</v>
      </c>
      <c r="K65" s="65" t="s">
        <v>94</v>
      </c>
      <c r="L65" s="65"/>
      <c r="M65" s="46"/>
      <c r="N65" s="25"/>
      <c r="O65" s="45" t="s">
        <v>27</v>
      </c>
      <c r="P65" s="45" t="s">
        <v>28</v>
      </c>
      <c r="Q65" s="45" t="s">
        <v>96</v>
      </c>
      <c r="R65" s="45" t="s">
        <v>11</v>
      </c>
    </row>
    <row r="66" spans="1:19" x14ac:dyDescent="0.25">
      <c r="A66" s="10" t="s">
        <v>160</v>
      </c>
      <c r="B66" s="11">
        <v>0</v>
      </c>
      <c r="C66" s="11">
        <v>1</v>
      </c>
      <c r="D66" s="11">
        <v>0</v>
      </c>
      <c r="E66" s="11">
        <v>1</v>
      </c>
      <c r="F66" s="11">
        <f>(E66+$F$62)^$F$63</f>
        <v>4.6688516567750975</v>
      </c>
      <c r="G66" s="11">
        <v>1</v>
      </c>
      <c r="H66" s="11">
        <v>1</v>
      </c>
      <c r="I66" s="11">
        <f>B66*G66*$O$4</f>
        <v>0</v>
      </c>
      <c r="J66" s="11">
        <f>C66*H66*$O$4</f>
        <v>13</v>
      </c>
      <c r="K66" s="11">
        <v>0</v>
      </c>
      <c r="L66" s="11">
        <v>1</v>
      </c>
      <c r="M66" s="47">
        <f t="shared" ref="M66:M77" si="35">F66*L66*$D$5</f>
        <v>175.85229765243403</v>
      </c>
      <c r="N66" s="25">
        <f>M66/R66</f>
        <v>0.75150554552322235</v>
      </c>
      <c r="O66" s="63">
        <f t="shared" ref="O66:O85" si="36">B66*G66*$O$2*$O$4</f>
        <v>0</v>
      </c>
      <c r="P66" s="63">
        <f t="shared" ref="P66:P85" si="37">C66*H66*$P$2*$O$4</f>
        <v>234</v>
      </c>
      <c r="Q66" s="25">
        <f t="shared" ref="Q66:Q85" si="38">K66*$Q$2</f>
        <v>0</v>
      </c>
      <c r="R66" s="25">
        <f>O66+P66+Q66</f>
        <v>234</v>
      </c>
      <c r="S66" s="12">
        <f>M66-R66</f>
        <v>-58.147702347565968</v>
      </c>
    </row>
    <row r="67" spans="1:19" x14ac:dyDescent="0.25">
      <c r="A67" s="10" t="s">
        <v>161</v>
      </c>
      <c r="B67" s="11">
        <v>0</v>
      </c>
      <c r="C67" s="11">
        <v>1</v>
      </c>
      <c r="D67" s="11">
        <v>0</v>
      </c>
      <c r="E67" s="11">
        <v>5</v>
      </c>
      <c r="F67" s="11">
        <f t="shared" ref="F67:F85" si="39">(E67+$F$62)^$F$63</f>
        <v>7.2443596007499025</v>
      </c>
      <c r="G67" s="11">
        <v>1</v>
      </c>
      <c r="H67" s="11">
        <v>1</v>
      </c>
      <c r="I67" s="11">
        <f t="shared" ref="I67:I85" si="40">B67*G67*$O$4</f>
        <v>0</v>
      </c>
      <c r="J67" s="11">
        <f t="shared" ref="J67:J85" si="41">C67*H67*$O$4</f>
        <v>13</v>
      </c>
      <c r="K67" s="11">
        <v>0</v>
      </c>
      <c r="L67" s="11">
        <v>1</v>
      </c>
      <c r="M67" s="47">
        <f t="shared" si="35"/>
        <v>272.85880436224505</v>
      </c>
      <c r="N67" s="25">
        <f t="shared" ref="N67:N85" si="42">M67/R67</f>
        <v>1.1660632665053208</v>
      </c>
      <c r="O67" s="25">
        <f t="shared" si="36"/>
        <v>0</v>
      </c>
      <c r="P67" s="25">
        <f t="shared" si="37"/>
        <v>234</v>
      </c>
      <c r="Q67" s="25">
        <f t="shared" si="38"/>
        <v>0</v>
      </c>
      <c r="R67" s="25">
        <f t="shared" ref="R67:R77" si="43">O67+P67+Q67</f>
        <v>234</v>
      </c>
      <c r="S67" s="12">
        <f t="shared" ref="S67:S85" si="44">M67-R67</f>
        <v>38.858804362245053</v>
      </c>
    </row>
    <row r="68" spans="1:19" x14ac:dyDescent="0.25">
      <c r="A68" s="10" t="s">
        <v>162</v>
      </c>
      <c r="B68" s="11">
        <v>0</v>
      </c>
      <c r="C68" s="11">
        <v>1</v>
      </c>
      <c r="D68" s="11">
        <v>0</v>
      </c>
      <c r="E68" s="11">
        <v>10</v>
      </c>
      <c r="F68" s="11">
        <f t="shared" si="39"/>
        <v>10.266879924349391</v>
      </c>
      <c r="G68" s="11">
        <v>1</v>
      </c>
      <c r="H68" s="11">
        <f t="shared" ref="H68:H69" si="45">ROUND(E68/20,0)</f>
        <v>1</v>
      </c>
      <c r="I68" s="11">
        <f t="shared" si="40"/>
        <v>0</v>
      </c>
      <c r="J68" s="11">
        <f t="shared" si="41"/>
        <v>13</v>
      </c>
      <c r="K68" s="11">
        <v>0</v>
      </c>
      <c r="L68" s="11">
        <v>1</v>
      </c>
      <c r="M68" s="47">
        <f t="shared" si="35"/>
        <v>386.70203235061979</v>
      </c>
      <c r="N68" s="25">
        <f t="shared" si="42"/>
        <v>1.6525727878231615</v>
      </c>
      <c r="O68" s="25">
        <f t="shared" si="36"/>
        <v>0</v>
      </c>
      <c r="P68" s="25">
        <f t="shared" si="37"/>
        <v>234</v>
      </c>
      <c r="Q68" s="25">
        <f t="shared" si="38"/>
        <v>0</v>
      </c>
      <c r="R68" s="25">
        <f t="shared" si="43"/>
        <v>234</v>
      </c>
      <c r="S68" s="12">
        <f t="shared" si="44"/>
        <v>152.70203235061979</v>
      </c>
    </row>
    <row r="69" spans="1:19" s="88" customFormat="1" x14ac:dyDescent="0.25">
      <c r="A69" s="82" t="s">
        <v>163</v>
      </c>
      <c r="B69" s="83">
        <v>0</v>
      </c>
      <c r="C69" s="83">
        <v>1</v>
      </c>
      <c r="D69" s="83">
        <v>0</v>
      </c>
      <c r="E69" s="83">
        <v>20</v>
      </c>
      <c r="F69" s="83">
        <f t="shared" si="39"/>
        <v>15.930463338190766</v>
      </c>
      <c r="G69" s="83">
        <v>1</v>
      </c>
      <c r="H69" s="83">
        <f t="shared" si="45"/>
        <v>1</v>
      </c>
      <c r="I69" s="83">
        <f t="shared" si="40"/>
        <v>0</v>
      </c>
      <c r="J69" s="83">
        <f t="shared" si="41"/>
        <v>13</v>
      </c>
      <c r="K69" s="83">
        <v>0</v>
      </c>
      <c r="L69" s="83">
        <v>1</v>
      </c>
      <c r="M69" s="89">
        <f t="shared" si="35"/>
        <v>600.0209016329552</v>
      </c>
      <c r="N69" s="85">
        <f t="shared" si="42"/>
        <v>2.5641918873203213</v>
      </c>
      <c r="O69" s="85">
        <f t="shared" si="36"/>
        <v>0</v>
      </c>
      <c r="P69" s="85">
        <f t="shared" si="37"/>
        <v>234</v>
      </c>
      <c r="Q69" s="85">
        <f t="shared" si="38"/>
        <v>0</v>
      </c>
      <c r="R69" s="85">
        <f t="shared" si="43"/>
        <v>234</v>
      </c>
      <c r="S69" s="87">
        <f t="shared" si="44"/>
        <v>366.0209016329552</v>
      </c>
    </row>
    <row r="70" spans="1:19" x14ac:dyDescent="0.25">
      <c r="A70" s="10" t="s">
        <v>164</v>
      </c>
      <c r="B70" s="11">
        <v>0</v>
      </c>
      <c r="C70" s="11">
        <v>1</v>
      </c>
      <c r="D70" s="11" t="s">
        <v>32</v>
      </c>
      <c r="E70" s="11">
        <v>1</v>
      </c>
      <c r="F70" s="11">
        <f t="shared" si="39"/>
        <v>4.6688516567750975</v>
      </c>
      <c r="G70" s="11">
        <v>1</v>
      </c>
      <c r="H70" s="11">
        <v>1</v>
      </c>
      <c r="I70" s="11">
        <f t="shared" si="40"/>
        <v>0</v>
      </c>
      <c r="J70" s="11">
        <f t="shared" si="41"/>
        <v>13</v>
      </c>
      <c r="K70" s="11">
        <f t="shared" ref="K70:K85" si="46">E70</f>
        <v>1</v>
      </c>
      <c r="L70" s="11">
        <v>1</v>
      </c>
      <c r="M70" s="47">
        <f t="shared" si="35"/>
        <v>175.85229765243403</v>
      </c>
      <c r="N70" s="25">
        <f t="shared" si="42"/>
        <v>0.71195262207463172</v>
      </c>
      <c r="O70" s="25">
        <f t="shared" si="36"/>
        <v>0</v>
      </c>
      <c r="P70" s="25">
        <f t="shared" si="37"/>
        <v>234</v>
      </c>
      <c r="Q70" s="25">
        <f t="shared" si="38"/>
        <v>13</v>
      </c>
      <c r="R70" s="25">
        <f t="shared" si="43"/>
        <v>247</v>
      </c>
      <c r="S70" s="12">
        <f t="shared" si="44"/>
        <v>-71.147702347565968</v>
      </c>
    </row>
    <row r="71" spans="1:19" x14ac:dyDescent="0.25">
      <c r="A71" s="10" t="s">
        <v>165</v>
      </c>
      <c r="B71" s="11">
        <v>0</v>
      </c>
      <c r="C71" s="11">
        <v>1</v>
      </c>
      <c r="D71" s="11" t="s">
        <v>32</v>
      </c>
      <c r="E71" s="11">
        <v>5</v>
      </c>
      <c r="F71" s="11">
        <f t="shared" si="39"/>
        <v>7.2443596007499025</v>
      </c>
      <c r="G71" s="11">
        <v>1</v>
      </c>
      <c r="H71" s="11">
        <v>1</v>
      </c>
      <c r="I71" s="11">
        <f t="shared" si="40"/>
        <v>0</v>
      </c>
      <c r="J71" s="11">
        <f t="shared" si="41"/>
        <v>13</v>
      </c>
      <c r="K71" s="11">
        <f t="shared" si="46"/>
        <v>5</v>
      </c>
      <c r="L71" s="11">
        <v>1</v>
      </c>
      <c r="M71" s="47">
        <f t="shared" si="35"/>
        <v>272.85880436224505</v>
      </c>
      <c r="N71" s="25">
        <f t="shared" si="42"/>
        <v>0.91257125204764233</v>
      </c>
      <c r="O71" s="25">
        <f t="shared" si="36"/>
        <v>0</v>
      </c>
      <c r="P71" s="25">
        <f t="shared" si="37"/>
        <v>234</v>
      </c>
      <c r="Q71" s="25">
        <f t="shared" si="38"/>
        <v>65</v>
      </c>
      <c r="R71" s="25">
        <f t="shared" si="43"/>
        <v>299</v>
      </c>
      <c r="S71" s="12">
        <f t="shared" si="44"/>
        <v>-26.141195637754947</v>
      </c>
    </row>
    <row r="72" spans="1:19" x14ac:dyDescent="0.25">
      <c r="A72" s="10" t="s">
        <v>166</v>
      </c>
      <c r="B72" s="11">
        <v>0</v>
      </c>
      <c r="C72" s="11">
        <v>1</v>
      </c>
      <c r="D72" s="11" t="s">
        <v>32</v>
      </c>
      <c r="E72" s="11">
        <v>10</v>
      </c>
      <c r="F72" s="11">
        <f t="shared" si="39"/>
        <v>10.266879924349391</v>
      </c>
      <c r="G72" s="11">
        <v>1</v>
      </c>
      <c r="H72" s="11">
        <f t="shared" ref="H72:H73" si="47">ROUND(E72/20,0)</f>
        <v>1</v>
      </c>
      <c r="I72" s="11">
        <f t="shared" si="40"/>
        <v>0</v>
      </c>
      <c r="J72" s="11">
        <f t="shared" si="41"/>
        <v>13</v>
      </c>
      <c r="K72" s="11">
        <f t="shared" si="46"/>
        <v>10</v>
      </c>
      <c r="L72" s="11">
        <v>1</v>
      </c>
      <c r="M72" s="47">
        <f t="shared" si="35"/>
        <v>386.70203235061979</v>
      </c>
      <c r="N72" s="25">
        <f t="shared" si="42"/>
        <v>1.062368220743461</v>
      </c>
      <c r="O72" s="25">
        <f t="shared" si="36"/>
        <v>0</v>
      </c>
      <c r="P72" s="25">
        <f t="shared" si="37"/>
        <v>234</v>
      </c>
      <c r="Q72" s="25">
        <f t="shared" si="38"/>
        <v>130</v>
      </c>
      <c r="R72" s="25">
        <f t="shared" si="43"/>
        <v>364</v>
      </c>
      <c r="S72" s="12">
        <f t="shared" si="44"/>
        <v>22.702032350619788</v>
      </c>
    </row>
    <row r="73" spans="1:19" s="88" customFormat="1" x14ac:dyDescent="0.25">
      <c r="A73" s="82" t="s">
        <v>167</v>
      </c>
      <c r="B73" s="83">
        <v>0</v>
      </c>
      <c r="C73" s="83">
        <v>1</v>
      </c>
      <c r="D73" s="83" t="s">
        <v>32</v>
      </c>
      <c r="E73" s="83">
        <v>20</v>
      </c>
      <c r="F73" s="83">
        <f t="shared" si="39"/>
        <v>15.930463338190766</v>
      </c>
      <c r="G73" s="83">
        <v>1</v>
      </c>
      <c r="H73" s="83">
        <f t="shared" si="47"/>
        <v>1</v>
      </c>
      <c r="I73" s="83">
        <f t="shared" si="40"/>
        <v>0</v>
      </c>
      <c r="J73" s="83">
        <f t="shared" si="41"/>
        <v>13</v>
      </c>
      <c r="K73" s="83">
        <f t="shared" si="46"/>
        <v>20</v>
      </c>
      <c r="L73" s="83">
        <v>1</v>
      </c>
      <c r="M73" s="89">
        <f t="shared" si="35"/>
        <v>600.0209016329552</v>
      </c>
      <c r="N73" s="85">
        <f t="shared" si="42"/>
        <v>1.2146172097833101</v>
      </c>
      <c r="O73" s="85">
        <f t="shared" si="36"/>
        <v>0</v>
      </c>
      <c r="P73" s="85">
        <f t="shared" si="37"/>
        <v>234</v>
      </c>
      <c r="Q73" s="85">
        <f t="shared" si="38"/>
        <v>260</v>
      </c>
      <c r="R73" s="85">
        <f t="shared" si="43"/>
        <v>494</v>
      </c>
      <c r="S73" s="87">
        <f t="shared" si="44"/>
        <v>106.0209016329552</v>
      </c>
    </row>
    <row r="74" spans="1:19" x14ac:dyDescent="0.25">
      <c r="A74" s="10" t="s">
        <v>168</v>
      </c>
      <c r="B74" s="11">
        <v>1</v>
      </c>
      <c r="C74" s="11">
        <v>1</v>
      </c>
      <c r="D74" s="11" t="s">
        <v>32</v>
      </c>
      <c r="E74" s="11">
        <v>1</v>
      </c>
      <c r="F74" s="11">
        <f t="shared" si="39"/>
        <v>4.6688516567750975</v>
      </c>
      <c r="G74" s="11">
        <v>1</v>
      </c>
      <c r="H74" s="11">
        <v>1</v>
      </c>
      <c r="I74" s="11">
        <f t="shared" si="40"/>
        <v>13</v>
      </c>
      <c r="J74" s="11">
        <f t="shared" si="41"/>
        <v>13</v>
      </c>
      <c r="K74" s="11">
        <f t="shared" si="46"/>
        <v>1</v>
      </c>
      <c r="L74" s="11">
        <v>2</v>
      </c>
      <c r="M74" s="47">
        <f t="shared" si="35"/>
        <v>351.70459530486806</v>
      </c>
      <c r="N74" s="25">
        <f t="shared" si="42"/>
        <v>0.4509033273139334</v>
      </c>
      <c r="O74" s="25">
        <f t="shared" si="36"/>
        <v>533</v>
      </c>
      <c r="P74" s="25">
        <f t="shared" si="37"/>
        <v>234</v>
      </c>
      <c r="Q74" s="25">
        <f t="shared" si="38"/>
        <v>13</v>
      </c>
      <c r="R74" s="25">
        <f t="shared" si="43"/>
        <v>780</v>
      </c>
      <c r="S74" s="12">
        <f t="shared" si="44"/>
        <v>-428.29540469513194</v>
      </c>
    </row>
    <row r="75" spans="1:19" x14ac:dyDescent="0.25">
      <c r="A75" s="10" t="s">
        <v>169</v>
      </c>
      <c r="B75" s="11">
        <v>1</v>
      </c>
      <c r="C75" s="11">
        <v>1</v>
      </c>
      <c r="D75" s="11" t="s">
        <v>32</v>
      </c>
      <c r="E75" s="11">
        <v>5</v>
      </c>
      <c r="F75" s="11">
        <f t="shared" si="39"/>
        <v>7.2443596007499025</v>
      </c>
      <c r="G75" s="11">
        <v>1</v>
      </c>
      <c r="H75" s="11">
        <v>1</v>
      </c>
      <c r="I75" s="11">
        <f t="shared" si="40"/>
        <v>13</v>
      </c>
      <c r="J75" s="11">
        <f t="shared" si="41"/>
        <v>13</v>
      </c>
      <c r="K75" s="11">
        <f t="shared" si="46"/>
        <v>5</v>
      </c>
      <c r="L75" s="11">
        <v>2</v>
      </c>
      <c r="M75" s="47">
        <f t="shared" si="35"/>
        <v>545.71760872449011</v>
      </c>
      <c r="N75" s="25">
        <f t="shared" si="42"/>
        <v>0.65591058740924291</v>
      </c>
      <c r="O75" s="25">
        <f t="shared" si="36"/>
        <v>533</v>
      </c>
      <c r="P75" s="25">
        <f t="shared" si="37"/>
        <v>234</v>
      </c>
      <c r="Q75" s="25">
        <f t="shared" si="38"/>
        <v>65</v>
      </c>
      <c r="R75" s="25">
        <f t="shared" si="43"/>
        <v>832</v>
      </c>
      <c r="S75" s="12">
        <f t="shared" si="44"/>
        <v>-286.28239127550989</v>
      </c>
    </row>
    <row r="76" spans="1:19" x14ac:dyDescent="0.25">
      <c r="A76" s="10" t="s">
        <v>170</v>
      </c>
      <c r="B76" s="11">
        <v>1</v>
      </c>
      <c r="C76" s="11">
        <v>1</v>
      </c>
      <c r="D76" s="11" t="s">
        <v>32</v>
      </c>
      <c r="E76" s="11">
        <v>10</v>
      </c>
      <c r="F76" s="11">
        <f t="shared" si="39"/>
        <v>10.266879924349391</v>
      </c>
      <c r="G76" s="11">
        <v>1</v>
      </c>
      <c r="H76" s="11">
        <f t="shared" ref="H76:H77" si="48">ROUND(E76/20,0)</f>
        <v>1</v>
      </c>
      <c r="I76" s="11">
        <f t="shared" si="40"/>
        <v>13</v>
      </c>
      <c r="J76" s="11">
        <f t="shared" si="41"/>
        <v>13</v>
      </c>
      <c r="K76" s="11">
        <f t="shared" si="46"/>
        <v>10</v>
      </c>
      <c r="L76" s="11">
        <v>2</v>
      </c>
      <c r="M76" s="47">
        <f t="shared" si="35"/>
        <v>773.40406470123958</v>
      </c>
      <c r="N76" s="25">
        <f t="shared" si="42"/>
        <v>0.8622118892990408</v>
      </c>
      <c r="O76" s="25">
        <f t="shared" si="36"/>
        <v>533</v>
      </c>
      <c r="P76" s="25">
        <f t="shared" si="37"/>
        <v>234</v>
      </c>
      <c r="Q76" s="25">
        <f t="shared" si="38"/>
        <v>130</v>
      </c>
      <c r="R76" s="25">
        <f t="shared" si="43"/>
        <v>897</v>
      </c>
      <c r="S76" s="12">
        <f t="shared" si="44"/>
        <v>-123.59593529876042</v>
      </c>
    </row>
    <row r="77" spans="1:19" s="88" customFormat="1" x14ac:dyDescent="0.25">
      <c r="A77" s="82" t="s">
        <v>171</v>
      </c>
      <c r="B77" s="83">
        <v>1</v>
      </c>
      <c r="C77" s="83">
        <v>1</v>
      </c>
      <c r="D77" s="83" t="s">
        <v>32</v>
      </c>
      <c r="E77" s="83">
        <v>20</v>
      </c>
      <c r="F77" s="83">
        <f t="shared" si="39"/>
        <v>15.930463338190766</v>
      </c>
      <c r="G77" s="83">
        <v>1</v>
      </c>
      <c r="H77" s="83">
        <f t="shared" si="48"/>
        <v>1</v>
      </c>
      <c r="I77" s="83">
        <f t="shared" si="40"/>
        <v>13</v>
      </c>
      <c r="J77" s="83">
        <f t="shared" si="41"/>
        <v>13</v>
      </c>
      <c r="K77" s="83">
        <f t="shared" si="46"/>
        <v>20</v>
      </c>
      <c r="L77" s="83">
        <v>2</v>
      </c>
      <c r="M77" s="89">
        <f t="shared" si="35"/>
        <v>1200.0418032659104</v>
      </c>
      <c r="N77" s="85">
        <f t="shared" si="42"/>
        <v>1.1684925056143236</v>
      </c>
      <c r="O77" s="85">
        <f t="shared" si="36"/>
        <v>533</v>
      </c>
      <c r="P77" s="85">
        <f t="shared" si="37"/>
        <v>234</v>
      </c>
      <c r="Q77" s="85">
        <f t="shared" si="38"/>
        <v>260</v>
      </c>
      <c r="R77" s="85">
        <f t="shared" si="43"/>
        <v>1027</v>
      </c>
      <c r="S77" s="87">
        <f t="shared" si="44"/>
        <v>173.0418032659104</v>
      </c>
    </row>
    <row r="78" spans="1:19" x14ac:dyDescent="0.25">
      <c r="A78" s="10" t="s">
        <v>172</v>
      </c>
      <c r="B78" s="11">
        <v>2</v>
      </c>
      <c r="C78" s="11">
        <v>2</v>
      </c>
      <c r="D78" s="11" t="s">
        <v>32</v>
      </c>
      <c r="E78" s="11">
        <v>1</v>
      </c>
      <c r="F78" s="11">
        <f t="shared" si="39"/>
        <v>4.6688516567750975</v>
      </c>
      <c r="G78" s="11">
        <v>1</v>
      </c>
      <c r="H78" s="11">
        <v>1</v>
      </c>
      <c r="I78" s="11">
        <f t="shared" si="40"/>
        <v>26</v>
      </c>
      <c r="J78" s="11">
        <f t="shared" si="41"/>
        <v>26</v>
      </c>
      <c r="K78" s="11">
        <f t="shared" si="46"/>
        <v>1</v>
      </c>
      <c r="L78" s="11">
        <v>4</v>
      </c>
      <c r="M78" s="47">
        <f t="shared" ref="M78:M85" si="49">F78*L78*$D$5</f>
        <v>703.40919060973613</v>
      </c>
      <c r="N78" s="25">
        <f t="shared" si="42"/>
        <v>0.45469243090480682</v>
      </c>
      <c r="O78" s="63">
        <f t="shared" si="36"/>
        <v>1066</v>
      </c>
      <c r="P78" s="63">
        <f t="shared" si="37"/>
        <v>468</v>
      </c>
      <c r="Q78" s="25">
        <f t="shared" si="38"/>
        <v>13</v>
      </c>
      <c r="R78" s="25">
        <f>O78+P78+Q78</f>
        <v>1547</v>
      </c>
      <c r="S78" s="12">
        <f t="shared" si="44"/>
        <v>-843.59080939026387</v>
      </c>
    </row>
    <row r="79" spans="1:19" x14ac:dyDescent="0.25">
      <c r="A79" s="10" t="s">
        <v>186</v>
      </c>
      <c r="B79" s="11">
        <v>2</v>
      </c>
      <c r="C79" s="11">
        <v>2</v>
      </c>
      <c r="D79" s="11" t="s">
        <v>32</v>
      </c>
      <c r="E79" s="11">
        <v>5</v>
      </c>
      <c r="F79" s="11">
        <f t="shared" si="39"/>
        <v>7.2443596007499025</v>
      </c>
      <c r="G79" s="11">
        <v>1</v>
      </c>
      <c r="H79" s="11">
        <v>1</v>
      </c>
      <c r="I79" s="11">
        <f t="shared" si="40"/>
        <v>26</v>
      </c>
      <c r="J79" s="11">
        <f t="shared" si="41"/>
        <v>26</v>
      </c>
      <c r="K79" s="11">
        <f t="shared" si="46"/>
        <v>5</v>
      </c>
      <c r="L79" s="11">
        <v>4</v>
      </c>
      <c r="M79" s="47">
        <f t="shared" si="49"/>
        <v>1091.4352174489802</v>
      </c>
      <c r="N79" s="25">
        <f t="shared" si="42"/>
        <v>0.68257361941774874</v>
      </c>
      <c r="O79" s="25">
        <f t="shared" si="36"/>
        <v>1066</v>
      </c>
      <c r="P79" s="25">
        <f t="shared" si="37"/>
        <v>468</v>
      </c>
      <c r="Q79" s="25">
        <f t="shared" si="38"/>
        <v>65</v>
      </c>
      <c r="R79" s="25">
        <f t="shared" ref="R79:R85" si="50">O79+P79+Q79</f>
        <v>1599</v>
      </c>
      <c r="S79" s="12">
        <f t="shared" si="44"/>
        <v>-507.56478255101979</v>
      </c>
    </row>
    <row r="80" spans="1:19" x14ac:dyDescent="0.25">
      <c r="A80" s="10" t="s">
        <v>187</v>
      </c>
      <c r="B80" s="11">
        <v>2</v>
      </c>
      <c r="C80" s="11">
        <v>2</v>
      </c>
      <c r="D80" s="11" t="s">
        <v>32</v>
      </c>
      <c r="E80" s="11">
        <v>10</v>
      </c>
      <c r="F80" s="11">
        <f t="shared" si="39"/>
        <v>10.266879924349391</v>
      </c>
      <c r="G80" s="11">
        <v>1</v>
      </c>
      <c r="H80" s="11">
        <f t="shared" ref="H80:H81" si="51">ROUND(E80/20,0)</f>
        <v>1</v>
      </c>
      <c r="I80" s="11">
        <f t="shared" si="40"/>
        <v>26</v>
      </c>
      <c r="J80" s="11">
        <f t="shared" si="41"/>
        <v>26</v>
      </c>
      <c r="K80" s="11">
        <f t="shared" si="46"/>
        <v>10</v>
      </c>
      <c r="L80" s="11">
        <v>4</v>
      </c>
      <c r="M80" s="47">
        <f t="shared" si="49"/>
        <v>1546.8081294024792</v>
      </c>
      <c r="N80" s="25">
        <f t="shared" si="42"/>
        <v>0.9295721931505283</v>
      </c>
      <c r="O80" s="25">
        <f t="shared" si="36"/>
        <v>1066</v>
      </c>
      <c r="P80" s="25">
        <f t="shared" si="37"/>
        <v>468</v>
      </c>
      <c r="Q80" s="25">
        <f t="shared" si="38"/>
        <v>130</v>
      </c>
      <c r="R80" s="25">
        <f t="shared" si="50"/>
        <v>1664</v>
      </c>
      <c r="S80" s="12">
        <f t="shared" si="44"/>
        <v>-117.19187059752085</v>
      </c>
    </row>
    <row r="81" spans="1:19" s="88" customFormat="1" x14ac:dyDescent="0.25">
      <c r="A81" s="82" t="s">
        <v>188</v>
      </c>
      <c r="B81" s="83">
        <v>2</v>
      </c>
      <c r="C81" s="83">
        <v>2</v>
      </c>
      <c r="D81" s="83" t="s">
        <v>32</v>
      </c>
      <c r="E81" s="83">
        <v>20</v>
      </c>
      <c r="F81" s="83">
        <f t="shared" si="39"/>
        <v>15.930463338190766</v>
      </c>
      <c r="G81" s="83">
        <v>1</v>
      </c>
      <c r="H81" s="83">
        <f t="shared" si="51"/>
        <v>1</v>
      </c>
      <c r="I81" s="83">
        <f t="shared" si="40"/>
        <v>26</v>
      </c>
      <c r="J81" s="83">
        <f t="shared" si="41"/>
        <v>26</v>
      </c>
      <c r="K81" s="83">
        <f t="shared" si="46"/>
        <v>20</v>
      </c>
      <c r="L81" s="83">
        <v>4</v>
      </c>
      <c r="M81" s="89">
        <f t="shared" si="49"/>
        <v>2400.0836065318208</v>
      </c>
      <c r="N81" s="85">
        <f t="shared" si="42"/>
        <v>1.3378392455584285</v>
      </c>
      <c r="O81" s="85">
        <f t="shared" si="36"/>
        <v>1066</v>
      </c>
      <c r="P81" s="85">
        <f t="shared" si="37"/>
        <v>468</v>
      </c>
      <c r="Q81" s="85">
        <f t="shared" si="38"/>
        <v>260</v>
      </c>
      <c r="R81" s="85">
        <f t="shared" si="50"/>
        <v>1794</v>
      </c>
      <c r="S81" s="87">
        <f t="shared" si="44"/>
        <v>606.08360653182081</v>
      </c>
    </row>
    <row r="82" spans="1:19" x14ac:dyDescent="0.25">
      <c r="A82" s="10" t="s">
        <v>189</v>
      </c>
      <c r="B82" s="11">
        <v>3</v>
      </c>
      <c r="C82" s="11">
        <v>3</v>
      </c>
      <c r="D82" s="11" t="s">
        <v>32</v>
      </c>
      <c r="E82" s="11">
        <v>1</v>
      </c>
      <c r="F82" s="11">
        <f t="shared" si="39"/>
        <v>4.6688516567750975</v>
      </c>
      <c r="G82" s="11">
        <v>1</v>
      </c>
      <c r="H82" s="11">
        <v>1</v>
      </c>
      <c r="I82" s="11">
        <f t="shared" si="40"/>
        <v>39</v>
      </c>
      <c r="J82" s="11">
        <f t="shared" si="41"/>
        <v>39</v>
      </c>
      <c r="K82" s="11">
        <f t="shared" si="46"/>
        <v>1</v>
      </c>
      <c r="L82" s="11">
        <v>6</v>
      </c>
      <c r="M82" s="47">
        <f t="shared" si="49"/>
        <v>1055.1137859146043</v>
      </c>
      <c r="N82" s="25">
        <f t="shared" si="42"/>
        <v>0.45596965683431473</v>
      </c>
      <c r="O82" s="25">
        <f t="shared" si="36"/>
        <v>1599</v>
      </c>
      <c r="P82" s="25">
        <f t="shared" si="37"/>
        <v>702</v>
      </c>
      <c r="Q82" s="25">
        <f t="shared" si="38"/>
        <v>13</v>
      </c>
      <c r="R82" s="25">
        <f t="shared" si="50"/>
        <v>2314</v>
      </c>
      <c r="S82" s="12">
        <f t="shared" si="44"/>
        <v>-1258.8862140853957</v>
      </c>
    </row>
    <row r="83" spans="1:19" x14ac:dyDescent="0.25">
      <c r="A83" s="10" t="s">
        <v>190</v>
      </c>
      <c r="B83" s="11">
        <v>3</v>
      </c>
      <c r="C83" s="11">
        <v>3</v>
      </c>
      <c r="D83" s="11" t="s">
        <v>32</v>
      </c>
      <c r="E83" s="11">
        <v>5</v>
      </c>
      <c r="F83" s="11">
        <f t="shared" si="39"/>
        <v>7.2443596007499025</v>
      </c>
      <c r="G83" s="11">
        <v>1</v>
      </c>
      <c r="H83" s="11">
        <v>1</v>
      </c>
      <c r="I83" s="11">
        <f t="shared" si="40"/>
        <v>39</v>
      </c>
      <c r="J83" s="11">
        <f t="shared" si="41"/>
        <v>39</v>
      </c>
      <c r="K83" s="11">
        <f t="shared" si="46"/>
        <v>5</v>
      </c>
      <c r="L83" s="11">
        <v>6</v>
      </c>
      <c r="M83" s="47">
        <f t="shared" si="49"/>
        <v>1637.1528261734704</v>
      </c>
      <c r="N83" s="25">
        <f t="shared" si="42"/>
        <v>0.69194963067348703</v>
      </c>
      <c r="O83" s="25">
        <f t="shared" si="36"/>
        <v>1599</v>
      </c>
      <c r="P83" s="25">
        <f t="shared" si="37"/>
        <v>702</v>
      </c>
      <c r="Q83" s="25">
        <f t="shared" si="38"/>
        <v>65</v>
      </c>
      <c r="R83" s="25">
        <f t="shared" si="50"/>
        <v>2366</v>
      </c>
      <c r="S83" s="12">
        <f t="shared" si="44"/>
        <v>-728.84717382652957</v>
      </c>
    </row>
    <row r="84" spans="1:19" x14ac:dyDescent="0.25">
      <c r="A84" s="10" t="s">
        <v>191</v>
      </c>
      <c r="B84" s="11">
        <v>3</v>
      </c>
      <c r="C84" s="11">
        <v>3</v>
      </c>
      <c r="D84" s="11" t="s">
        <v>32</v>
      </c>
      <c r="E84" s="11">
        <v>10</v>
      </c>
      <c r="F84" s="11">
        <f t="shared" si="39"/>
        <v>10.266879924349391</v>
      </c>
      <c r="G84" s="11">
        <v>1</v>
      </c>
      <c r="H84" s="11">
        <f t="shared" ref="H84:H85" si="52">ROUND(E84/20,0)</f>
        <v>1</v>
      </c>
      <c r="I84" s="11">
        <f t="shared" si="40"/>
        <v>39</v>
      </c>
      <c r="J84" s="11">
        <f t="shared" si="41"/>
        <v>39</v>
      </c>
      <c r="K84" s="11">
        <f t="shared" si="46"/>
        <v>10</v>
      </c>
      <c r="L84" s="11">
        <v>6</v>
      </c>
      <c r="M84" s="47">
        <f t="shared" si="49"/>
        <v>2320.212194103719</v>
      </c>
      <c r="N84" s="25">
        <f t="shared" si="42"/>
        <v>0.95442706462514149</v>
      </c>
      <c r="O84" s="25">
        <f t="shared" si="36"/>
        <v>1599</v>
      </c>
      <c r="P84" s="25">
        <f t="shared" si="37"/>
        <v>702</v>
      </c>
      <c r="Q84" s="25">
        <f t="shared" si="38"/>
        <v>130</v>
      </c>
      <c r="R84" s="25">
        <f t="shared" si="50"/>
        <v>2431</v>
      </c>
      <c r="S84" s="12">
        <f t="shared" si="44"/>
        <v>-110.78780589628104</v>
      </c>
    </row>
    <row r="85" spans="1:19" s="88" customFormat="1" x14ac:dyDescent="0.25">
      <c r="A85" s="82" t="s">
        <v>192</v>
      </c>
      <c r="B85" s="83">
        <v>3</v>
      </c>
      <c r="C85" s="83">
        <v>3</v>
      </c>
      <c r="D85" s="83" t="s">
        <v>32</v>
      </c>
      <c r="E85" s="83">
        <v>20</v>
      </c>
      <c r="F85" s="83">
        <f t="shared" si="39"/>
        <v>15.930463338190766</v>
      </c>
      <c r="G85" s="83">
        <v>1</v>
      </c>
      <c r="H85" s="83">
        <f t="shared" si="52"/>
        <v>1</v>
      </c>
      <c r="I85" s="83">
        <f t="shared" si="40"/>
        <v>39</v>
      </c>
      <c r="J85" s="83">
        <f t="shared" si="41"/>
        <v>39</v>
      </c>
      <c r="K85" s="83">
        <f t="shared" si="46"/>
        <v>20</v>
      </c>
      <c r="L85" s="83">
        <v>6</v>
      </c>
      <c r="M85" s="89">
        <f t="shared" si="49"/>
        <v>3600.1254097977312</v>
      </c>
      <c r="N85" s="85">
        <f t="shared" si="42"/>
        <v>1.4057498671603792</v>
      </c>
      <c r="O85" s="85">
        <f t="shared" si="36"/>
        <v>1599</v>
      </c>
      <c r="P85" s="85">
        <f t="shared" si="37"/>
        <v>702</v>
      </c>
      <c r="Q85" s="85">
        <f t="shared" si="38"/>
        <v>260</v>
      </c>
      <c r="R85" s="85">
        <f t="shared" si="50"/>
        <v>2561</v>
      </c>
      <c r="S85" s="87">
        <f t="shared" si="44"/>
        <v>1039.1254097977312</v>
      </c>
    </row>
    <row r="86" spans="1:19" x14ac:dyDescent="0.25">
      <c r="A86" s="10" t="s">
        <v>11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47">
        <f t="shared" ref="M86:S86" si="53">SUM(M66:M85)</f>
        <v>20096.076503975561</v>
      </c>
      <c r="N86" s="47">
        <f t="shared" si="53"/>
        <v>20.08613480978245</v>
      </c>
      <c r="O86" s="47">
        <f t="shared" si="53"/>
        <v>12792</v>
      </c>
      <c r="P86" s="47">
        <f t="shared" si="53"/>
        <v>7488</v>
      </c>
      <c r="Q86" s="47">
        <f t="shared" si="53"/>
        <v>1872</v>
      </c>
      <c r="R86" s="47">
        <f t="shared" si="53"/>
        <v>22152</v>
      </c>
      <c r="S86" s="47">
        <f t="shared" si="53"/>
        <v>-2055.923496024443</v>
      </c>
    </row>
  </sheetData>
  <mergeCells count="21">
    <mergeCell ref="I10:K10"/>
    <mergeCell ref="A36:A37"/>
    <mergeCell ref="B36:C36"/>
    <mergeCell ref="D36:D37"/>
    <mergeCell ref="E36:E37"/>
    <mergeCell ref="G36:G37"/>
    <mergeCell ref="H36:H37"/>
    <mergeCell ref="I36:K36"/>
    <mergeCell ref="A10:A11"/>
    <mergeCell ref="B10:C10"/>
    <mergeCell ref="D10:D11"/>
    <mergeCell ref="E10:E11"/>
    <mergeCell ref="G10:G11"/>
    <mergeCell ref="H10:H11"/>
    <mergeCell ref="I64:K64"/>
    <mergeCell ref="A64:A65"/>
    <mergeCell ref="B64:C64"/>
    <mergeCell ref="D64:D65"/>
    <mergeCell ref="E64:E65"/>
    <mergeCell ref="G64:G65"/>
    <mergeCell ref="H64:H6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dotacia STU fakulty 2020</vt:lpstr>
      <vt:lpstr>AIS pocet studentov 31.10.</vt:lpstr>
      <vt:lpstr>vypocet dotacie na studenta</vt:lpstr>
      <vt:lpstr>vypocet vykonov fakult</vt:lpstr>
      <vt:lpstr>overenie</vt:lpstr>
      <vt:lpstr>'dotacia STU fakulty 2020'!cl_vypocet_vykonu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Sevcikova</cp:lastModifiedBy>
  <dcterms:created xsi:type="dcterms:W3CDTF">2020-05-08T16:04:29Z</dcterms:created>
  <dcterms:modified xsi:type="dcterms:W3CDTF">2020-10-07T13:45:51Z</dcterms:modified>
</cp:coreProperties>
</file>