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Matuskova\Desktop\Matúšková\Výročná správa\Rok 2018\na Kolégium\"/>
    </mc:Choice>
  </mc:AlternateContent>
  <bookViews>
    <workbookView xWindow="0" yWindow="0" windowWidth="28800" windowHeight="11400" tabRatio="895" firstSheet="4" activeTab="5"/>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 sheetId="149" r:id="rId21"/>
    <sheet name="T18-Ostatné dota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 r:id="rId30"/>
    <externalReference r:id="rId31"/>
    <externalReference r:id="rId32"/>
    <externalReference r:id="rId33"/>
  </externalReferences>
  <definedNames>
    <definedName name="_kmp1" localSheetId="9">#REF!</definedName>
    <definedName name="_kmp1" localSheetId="12">#REF!</definedName>
    <definedName name="_kmp1">#REF!</definedName>
    <definedName name="_kmp2" localSheetId="12">#REF!</definedName>
    <definedName name="_kmp2">#REF!</definedName>
    <definedName name="_kmt1" localSheetId="9">#REF!</definedName>
    <definedName name="_kmt1" localSheetId="12">#REF!</definedName>
    <definedName name="_kmt1">#REF!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9">#REF!</definedName>
    <definedName name="denní" localSheetId="12">#REF!</definedName>
    <definedName name="denní">#REF!</definedName>
    <definedName name="dokpo" localSheetId="9">#REF!</definedName>
    <definedName name="dokpo" localSheetId="12">#REF!</definedName>
    <definedName name="dokpo">#REF!</definedName>
    <definedName name="dokpred" localSheetId="9">#REF!</definedName>
    <definedName name="dokpred" localSheetId="12">#REF!</definedName>
    <definedName name="dokpred">#REF!</definedName>
    <definedName name="druhý" localSheetId="9">#REF!</definedName>
    <definedName name="druhý" localSheetId="12">#REF!</definedName>
    <definedName name="druhý">#REF!</definedName>
    <definedName name="exterdruhý" localSheetId="9">#REF!</definedName>
    <definedName name="exterdruhý" localSheetId="12">#REF!</definedName>
    <definedName name="exterdruhý">#REF!</definedName>
    <definedName name="externeplat" localSheetId="9">#REF!</definedName>
    <definedName name="externeplat" localSheetId="12">#REF!</definedName>
    <definedName name="externeplat">#REF!</definedName>
    <definedName name="exterplat" localSheetId="9">#REF!</definedName>
    <definedName name="exterplat" localSheetId="12">#REF!</definedName>
    <definedName name="exterplat">#REF!</definedName>
    <definedName name="KKS_doc" localSheetId="9">#REF!</definedName>
    <definedName name="KKS_doc" localSheetId="12">#REF!</definedName>
    <definedName name="KKS_doc">#REF!</definedName>
    <definedName name="KKS_ost" localSheetId="9">#REF!</definedName>
    <definedName name="KKS_ost" localSheetId="12">#REF!</definedName>
    <definedName name="KKS_ost">#REF!</definedName>
    <definedName name="KKS_phd" localSheetId="9">#REF!</definedName>
    <definedName name="KKS_phd" localSheetId="12">#REF!</definedName>
    <definedName name="KKS_phd">#REF!</definedName>
    <definedName name="KKS_prof" localSheetId="9">#REF!</definedName>
    <definedName name="KKS_prof" localSheetId="12">#REF!</definedName>
    <definedName name="KKS_prof">#REF!</definedName>
    <definedName name="koef_gm_mzdy" localSheetId="9">#REF!</definedName>
    <definedName name="koef_gm_mzdy" localSheetId="12">#REF!</definedName>
    <definedName name="koef_gm_mzdy">#REF!</definedName>
    <definedName name="koef_kpn" localSheetId="9">#REF!</definedName>
    <definedName name="koef_kpn" localSheetId="12">#REF!</definedName>
    <definedName name="koef_kpn">#REF!</definedName>
    <definedName name="koef_prer_nad_gm_mzdy" localSheetId="9">#REF!</definedName>
    <definedName name="koef_prer_nad_gm_mzdy" localSheetId="12">#REF!</definedName>
    <definedName name="koef_prer_nad_gm_mzdy">#REF!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9">#REF!</definedName>
    <definedName name="koef_VV" localSheetId="12">#REF!</definedName>
    <definedName name="koef_VV">#REF!</definedName>
    <definedName name="kpn_ca_do" localSheetId="9">#REF!</definedName>
    <definedName name="kpn_ca_do" localSheetId="12">#REF!</definedName>
    <definedName name="kpn_ca_do">#REF!</definedName>
    <definedName name="kpn_ca_nad" localSheetId="9">#REF!</definedName>
    <definedName name="kpn_ca_nad" localSheetId="12">#REF!</definedName>
    <definedName name="kpn_ca_nad">#REF!</definedName>
    <definedName name="kzk" localSheetId="9">#REF!</definedName>
    <definedName name="kzk" localSheetId="12">#REF!</definedName>
    <definedName name="kzk">#REF!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'!$A$1:$D$26</definedName>
    <definedName name="_xlnm.Print_Area" localSheetId="16">'T11-Zdroje KV'!$A$1:$D$23</definedName>
    <definedName name="_xlnm.Print_Area" localSheetId="17">'T12-KV'!$A$1:$J$24</definedName>
    <definedName name="_xlnm.Print_Area" localSheetId="18">'T13-Fondy'!$A$1:$N$22</definedName>
    <definedName name="_xlnm.Print_Area" localSheetId="19">'T16 - Štruktúra hotovosti'!$A$1:$D$22</definedName>
    <definedName name="_xlnm.Print_Area" localSheetId="20">'T17-Dotácie zo ŠF EU'!$A$1:$H$26</definedName>
    <definedName name="_xlnm.Print_Area" localSheetId="21">'T18-Ostatné dotacie z kap MŠ SR'!$A$1:$E$18</definedName>
    <definedName name="_xlnm.Print_Area" localSheetId="22">'T19-Štip_ z vlastných '!$A$1:$F$29</definedName>
    <definedName name="_xlnm.Print_Area" localSheetId="5">'T1-Dotácie podľa DZ'!$A$1:$E$19</definedName>
    <definedName name="_xlnm.Print_Area" localSheetId="23">'T20_motivačné štipendiá_nová'!$A$1:$F$14</definedName>
    <definedName name="_xlnm.Print_Area" localSheetId="24">'T21-štruktúra_384'!$A$1:$M$8</definedName>
    <definedName name="_xlnm.Print_Area" localSheetId="25">T22_Výnosy_soc_oblasť!$A$1:$F$44</definedName>
    <definedName name="_xlnm.Print_Area" localSheetId="26">T23_Náklady_soc_oblasť!$A$1:$F$42</definedName>
    <definedName name="_xlnm.Print_Area" localSheetId="7">'T3-Výnosy'!$A$1:$H$73</definedName>
    <definedName name="_xlnm.Print_Area" localSheetId="8">'T4-Výnosy zo školného'!$A$1:$D$22</definedName>
    <definedName name="_xlnm.Print_Area" localSheetId="9">'T5 - Analýza nákladov'!$A$1:$H$105</definedName>
    <definedName name="_xlnm.Print_Area" localSheetId="11">'T6a-Zamestnanci_a_mzdy (ženy)'!$A$1:$O$37</definedName>
    <definedName name="_xlnm.Print_Area" localSheetId="10">'T6-Zamestnanci_a_mzdy'!$A$1:$N$37</definedName>
    <definedName name="_xlnm.Print_Area" localSheetId="12">'T7_Doktorandi '!$A$1:$E$9</definedName>
    <definedName name="_xlnm.Print_Area" localSheetId="13">'T8-Soc_štipendiá'!$A$1:$F$15</definedName>
    <definedName name="_xlnm.Print_Area" localSheetId="14">'T9_ŠD '!$A$1:$F$21</definedName>
    <definedName name="_xlnm.Print_Area" localSheetId="2">Vysvetlivky!$A$1:$B$92</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9">#REF!</definedName>
    <definedName name="podiel" localSheetId="12">#REF!</definedName>
    <definedName name="podiel">#REF!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9">#REF!</definedName>
    <definedName name="Pp_Rozvoj_BD" localSheetId="12">#REF!</definedName>
    <definedName name="Pp_Rozvoj_BD">#REF!</definedName>
    <definedName name="Pp_Soc_BD" localSheetId="9">#REF!</definedName>
    <definedName name="Pp_Soc_BD" localSheetId="12">#REF!</definedName>
    <definedName name="Pp_Soc_BD">#REF!</definedName>
    <definedName name="Pp_VaT_BD" localSheetId="9">#REF!</definedName>
    <definedName name="Pp_VaT_BD" localSheetId="12">#REF!</definedName>
    <definedName name="Pp_VaT_BD">#REF!</definedName>
    <definedName name="Pp_VaT_mzdy" localSheetId="9">#REF!</definedName>
    <definedName name="Pp_VaT_mzdy" localSheetId="12">#REF!</definedName>
    <definedName name="Pp_VaT_mzdy">#REF!</definedName>
    <definedName name="Pp_VaT_mzdy_rezerva" localSheetId="9">#REF!</definedName>
    <definedName name="Pp_VaT_mzdy_rezerva" localSheetId="12">#REF!</definedName>
    <definedName name="Pp_VaT_mzdy_rezerva">#REF!</definedName>
    <definedName name="Pp_VaT_mzdy_zac_roka" localSheetId="9">#REF!</definedName>
    <definedName name="Pp_VaT_mzdy_zac_roka" localSheetId="12">#REF!</definedName>
    <definedName name="Pp_VaT_mzdy_zac_roka">#REF!</definedName>
    <definedName name="Pp_Vzdel_BD" localSheetId="9">#REF!</definedName>
    <definedName name="Pp_Vzdel_BD" localSheetId="12">#REF!</definedName>
    <definedName name="Pp_Vzdel_BD">#REF!</definedName>
    <definedName name="Pp_Vzdel_mzdy" localSheetId="9">#REF!</definedName>
    <definedName name="Pp_Vzdel_mzdy" localSheetId="12">#REF!</definedName>
    <definedName name="Pp_Vzdel_mzdy">#REF!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9">#REF!</definedName>
    <definedName name="Pp_Vzdel_mzdy_prevádz" localSheetId="12">#REF!</definedName>
    <definedName name="Pp_Vzdel_mzdy_prevádz">#REF!</definedName>
    <definedName name="Pp_Vzdel_mzdy_rezerva" localSheetId="9">#REF!</definedName>
    <definedName name="Pp_Vzdel_mzdy_rezerva" localSheetId="12">#REF!</definedName>
    <definedName name="Pp_Vzdel_mzdy_rezerva">#REF!</definedName>
    <definedName name="Pp_Vzdel_mzdy_spec" localSheetId="9">#REF!</definedName>
    <definedName name="Pp_Vzdel_mzdy_spec" localSheetId="12">#REF!</definedName>
    <definedName name="Pp_Vzdel_mzdy_spec">#REF!</definedName>
    <definedName name="Pp_Vzdel_mzdy_výkon" localSheetId="9">#REF!</definedName>
    <definedName name="Pp_Vzdel_mzdy_výkon" localSheetId="12">#REF!</definedName>
    <definedName name="Pp_Vzdel_mzdy_výkon">#REF!</definedName>
    <definedName name="Pp_Vzdel_mzdy_výkon_PV" localSheetId="9">#REF!</definedName>
    <definedName name="Pp_Vzdel_mzdy_výkon_PV" localSheetId="12">#REF!</definedName>
    <definedName name="Pp_Vzdel_mzdy_výkon_PV">#REF!</definedName>
    <definedName name="Pp_Vzdel_mzdy_výkon_PV_bez" localSheetId="9">#REF!</definedName>
    <definedName name="Pp_Vzdel_mzdy_výkon_PV_bez" localSheetId="12">#REF!</definedName>
    <definedName name="Pp_Vzdel_mzdy_výkon_PV_bez">#REF!</definedName>
    <definedName name="Pp_Vzdel_mzdy_výkon_PV_um" localSheetId="9">#REF!</definedName>
    <definedName name="Pp_Vzdel_mzdy_výkon_PV_um" localSheetId="12">#REF!</definedName>
    <definedName name="Pp_Vzdel_mzdy_výkon_PV_um">#REF!</definedName>
    <definedName name="Pp_Vzdel_mzdy_výkon_VV" localSheetId="9">#REF!</definedName>
    <definedName name="Pp_Vzdel_mzdy_výkon_VV" localSheetId="12">#REF!</definedName>
    <definedName name="Pp_Vzdel_mzdy_výkon_VV">#REF!</definedName>
    <definedName name="Pp_Vzdel_mzdy_výkon_VV_bez" localSheetId="9">#REF!</definedName>
    <definedName name="Pp_Vzdel_mzdy_výkon_VV_bez" localSheetId="12">#REF!</definedName>
    <definedName name="Pp_Vzdel_mzdy_výkon_VV_bez">#REF!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9">#REF!</definedName>
    <definedName name="Pp_Vzdel_TaS" localSheetId="12">#REF!</definedName>
    <definedName name="Pp_Vzdel_TaS">#REF!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9">#REF!</definedName>
    <definedName name="Pr_AV_BD" localSheetId="12">#REF!</definedName>
    <definedName name="Pr_AV_BD">#REF!</definedName>
    <definedName name="Pr_IV_BD" localSheetId="9">#REF!</definedName>
    <definedName name="Pr_IV_BD" localSheetId="12">#REF!</definedName>
    <definedName name="Pr_IV_BD">#REF!</definedName>
    <definedName name="Pr_IV_KV" localSheetId="9">#REF!</definedName>
    <definedName name="Pr_IV_KV" localSheetId="12">#REF!</definedName>
    <definedName name="Pr_IV_KV">#REF!</definedName>
    <definedName name="Pr_IV_KV_rezerva" localSheetId="9">#REF!</definedName>
    <definedName name="Pr_IV_KV_rezerva" localSheetId="12">#REF!</definedName>
    <definedName name="Pr_IV_KV_rezerva">#REF!</definedName>
    <definedName name="Pr_KEGA_BD" localSheetId="9">#REF!</definedName>
    <definedName name="Pr_KEGA_BD" localSheetId="12">#REF!</definedName>
    <definedName name="Pr_KEGA_BD">#REF!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9">#REF!</definedName>
    <definedName name="Pr_motštip_BD" localSheetId="12">#REF!</definedName>
    <definedName name="Pr_motštip_BD">#REF!</definedName>
    <definedName name="Pr_MVTS_BD" localSheetId="9">#REF!</definedName>
    <definedName name="Pr_MVTS_BD" localSheetId="12">#REF!</definedName>
    <definedName name="Pr_MVTS_BD">#REF!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9">#REF!</definedName>
    <definedName name="Pr_ŠDaJKŠPC_BD" localSheetId="12">#REF!</definedName>
    <definedName name="Pr_ŠDaJKŠPC_BD">#REF!</definedName>
    <definedName name="Pr_VaT_KV_zac_roka" localSheetId="9">#REF!</definedName>
    <definedName name="Pr_VaT_KV_zac_roka" localSheetId="12">#REF!</definedName>
    <definedName name="Pr_VaT_KV_zac_roka">#REF!</definedName>
    <definedName name="Pr_VaT_TaS" localSheetId="9">#REF!</definedName>
    <definedName name="Pr_VaT_TaS" localSheetId="12">#REF!</definedName>
    <definedName name="Pr_VaT_TaS">#REF!</definedName>
    <definedName name="Pr_VaT_TaS_rezerva" localSheetId="9">#REF!</definedName>
    <definedName name="Pr_VaT_TaS_rezerva" localSheetId="12">#REF!</definedName>
    <definedName name="Pr_VaT_TaS_rezerva">#REF!</definedName>
    <definedName name="Pr_VaT_TaS_zac_roka" localSheetId="9">#REF!</definedName>
    <definedName name="Pr_VaT_TaS_zac_roka" localSheetId="12">#REF!</definedName>
    <definedName name="Pr_VaT_TaS_zac_roka">#REF!</definedName>
    <definedName name="Pr_VEGA_BD" localSheetId="9">#REF!</definedName>
    <definedName name="Pr_VEGA_BD" localSheetId="12">#REF!</definedName>
    <definedName name="Pr_VEGA_BD">#REF!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9">#REF!</definedName>
    <definedName name="prísp_zákl_prev" localSheetId="12">#REF!</definedName>
    <definedName name="prísp_zákl_prev">#REF!</definedName>
    <definedName name="R_vvs" localSheetId="9">#REF!</definedName>
    <definedName name="R_vvs" localSheetId="12">#REF!</definedName>
    <definedName name="R_vvs">#REF!</definedName>
    <definedName name="R_vvs_BD" localSheetId="9">#REF!</definedName>
    <definedName name="R_vvs_BD" localSheetId="12">#REF!</definedName>
    <definedName name="R_vvs_BD">#REF!</definedName>
    <definedName name="R_vvs_VaT_BD" localSheetId="9">#REF!</definedName>
    <definedName name="R_vvs_VaT_BD" localSheetId="12">#REF!</definedName>
    <definedName name="R_vvs_VaT_BD">#REF!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9">#REF!</definedName>
    <definedName name="stavba_ucelova" localSheetId="12">#REF!</definedName>
    <definedName name="stavba_ucelova">#REF!</definedName>
    <definedName name="studenti_vstup" localSheetId="9">#REF!</definedName>
    <definedName name="studenti_vstup" localSheetId="12">#REF!</definedName>
    <definedName name="studenti_vstup">#REF!</definedName>
    <definedName name="sustava" localSheetId="9">#REF!</definedName>
    <definedName name="sustava" localSheetId="12">#REF!</definedName>
    <definedName name="sustava">#REF!</definedName>
    <definedName name="T_1" localSheetId="12">#REF!</definedName>
    <definedName name="T_1">#REF!</definedName>
    <definedName name="T_25_so_štip_2007" localSheetId="12">#REF!</definedName>
    <definedName name="T_25_so_štip_2007">#REF!</definedName>
    <definedName name="T_M" localSheetId="12">#REF!</definedName>
    <definedName name="T_M">#REF!</definedName>
    <definedName name="váha_absDrš" localSheetId="9">#REF!</definedName>
    <definedName name="váha_absDrš" localSheetId="12">#REF!</definedName>
    <definedName name="váha_absDrš">#REF!</definedName>
    <definedName name="váha_DG" localSheetId="9">#REF!</definedName>
    <definedName name="váha_DG" localSheetId="12">#REF!</definedName>
    <definedName name="váha_DG">#REF!</definedName>
    <definedName name="váha_poDs" localSheetId="9">#REF!</definedName>
    <definedName name="váha_poDs" localSheetId="12">#REF!</definedName>
    <definedName name="váha_poDs">#REF!</definedName>
    <definedName name="váha_Pub" localSheetId="9">#REF!</definedName>
    <definedName name="váha_Pub" localSheetId="12">#REF!</definedName>
    <definedName name="váha_Pub">#REF!</definedName>
    <definedName name="váha_ZG" localSheetId="9">#REF!</definedName>
    <definedName name="váha_ZG" localSheetId="12">#REF!</definedName>
    <definedName name="váha_ZG">#REF!</definedName>
    <definedName name="výkon_um" localSheetId="9">#REF!</definedName>
    <definedName name="výkon_um" localSheetId="12">#REF!</definedName>
    <definedName name="výkon_um">#REF!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62913"/>
</workbook>
</file>

<file path=xl/calcChain.xml><?xml version="1.0" encoding="utf-8"?>
<calcChain xmlns="http://schemas.openxmlformats.org/spreadsheetml/2006/main">
  <c r="E5" i="159" l="1"/>
  <c r="C9" i="3"/>
  <c r="C29" i="3"/>
  <c r="C28" i="3"/>
  <c r="C24" i="3"/>
  <c r="C23" i="3"/>
  <c r="C19" i="3"/>
  <c r="D7" i="146"/>
  <c r="D8" i="146"/>
  <c r="C8" i="146"/>
  <c r="C19" i="146"/>
  <c r="C18" i="146"/>
  <c r="C20" i="146" s="1"/>
  <c r="C15" i="146"/>
  <c r="C13" i="146"/>
  <c r="C11" i="146"/>
  <c r="C10" i="146"/>
  <c r="C7" i="146"/>
  <c r="C6" i="146"/>
  <c r="C13" i="64"/>
  <c r="C8" i="64"/>
  <c r="C5" i="64" s="1"/>
  <c r="C22" i="64" s="1"/>
  <c r="F10" i="116"/>
  <c r="E10" i="116"/>
  <c r="C22" i="155"/>
  <c r="D22" i="155"/>
  <c r="E22" i="155"/>
  <c r="D19" i="154"/>
  <c r="D18" i="154"/>
  <c r="C18" i="154"/>
  <c r="G6" i="97"/>
  <c r="M18" i="145"/>
  <c r="F18" i="145"/>
  <c r="N18" i="145" s="1"/>
  <c r="N16" i="145"/>
  <c r="M16" i="145"/>
  <c r="N15" i="145"/>
  <c r="M15" i="145"/>
  <c r="N14" i="145"/>
  <c r="M14" i="145"/>
  <c r="N13" i="145"/>
  <c r="M13" i="145"/>
  <c r="N12" i="145"/>
  <c r="M12" i="145"/>
  <c r="N11" i="145"/>
  <c r="M11" i="145"/>
  <c r="N10" i="145"/>
  <c r="M10" i="145"/>
  <c r="N9" i="145"/>
  <c r="M9" i="145"/>
  <c r="N8" i="145"/>
  <c r="M8" i="145"/>
  <c r="L7" i="145"/>
  <c r="K7" i="145"/>
  <c r="K17" i="145" s="1"/>
  <c r="L6" i="145" s="1"/>
  <c r="J7" i="145"/>
  <c r="I7" i="145"/>
  <c r="I17" i="145"/>
  <c r="J6" i="145" s="1"/>
  <c r="J17" i="145" s="1"/>
  <c r="H7" i="145"/>
  <c r="G7" i="145"/>
  <c r="G17" i="145" s="1"/>
  <c r="H6" i="145" s="1"/>
  <c r="F7" i="145"/>
  <c r="E7" i="145"/>
  <c r="D7" i="145"/>
  <c r="C7" i="145"/>
  <c r="C17" i="145" s="1"/>
  <c r="D6" i="145" s="1"/>
  <c r="D17" i="145" s="1"/>
  <c r="M6" i="145"/>
  <c r="D16" i="90"/>
  <c r="D7" i="90"/>
  <c r="C7" i="90"/>
  <c r="C14" i="90" s="1"/>
  <c r="C20" i="90" s="1"/>
  <c r="A7" i="90"/>
  <c r="A8" i="90"/>
  <c r="A9" i="90" s="1"/>
  <c r="A10" i="90" s="1"/>
  <c r="A11" i="90" s="1"/>
  <c r="A12" i="90" s="1"/>
  <c r="A13" i="90" s="1"/>
  <c r="A14" i="90" s="1"/>
  <c r="A15" i="90" s="1"/>
  <c r="A17" i="90" s="1"/>
  <c r="A18" i="90" s="1"/>
  <c r="A19" i="90" s="1"/>
  <c r="A20" i="90" s="1"/>
  <c r="D14" i="90"/>
  <c r="D20" i="90" s="1"/>
  <c r="J22" i="91"/>
  <c r="J21" i="91"/>
  <c r="J20" i="91"/>
  <c r="J19" i="91"/>
  <c r="J18" i="91"/>
  <c r="J17" i="91"/>
  <c r="J16" i="91"/>
  <c r="J15" i="91"/>
  <c r="J14" i="91"/>
  <c r="J13" i="91"/>
  <c r="J12" i="91"/>
  <c r="J11" i="91"/>
  <c r="I10" i="91"/>
  <c r="I23" i="91" s="1"/>
  <c r="H10" i="91"/>
  <c r="H23" i="91" s="1"/>
  <c r="G10" i="91"/>
  <c r="G23" i="91" s="1"/>
  <c r="F10" i="91"/>
  <c r="F23" i="91" s="1"/>
  <c r="E10" i="91"/>
  <c r="E23" i="91" s="1"/>
  <c r="D10" i="91"/>
  <c r="D23" i="91" s="1"/>
  <c r="J9" i="91"/>
  <c r="J8" i="91"/>
  <c r="J6" i="91"/>
  <c r="H101" i="150"/>
  <c r="G101" i="150"/>
  <c r="H100" i="150"/>
  <c r="G100" i="150"/>
  <c r="H99" i="150"/>
  <c r="G99" i="150"/>
  <c r="H98" i="150"/>
  <c r="G98" i="150"/>
  <c r="H97" i="150"/>
  <c r="G97" i="150"/>
  <c r="H96" i="150"/>
  <c r="G96" i="150"/>
  <c r="H95" i="150"/>
  <c r="G95" i="150"/>
  <c r="H94" i="150"/>
  <c r="G94" i="150"/>
  <c r="H93" i="150"/>
  <c r="G93" i="150"/>
  <c r="H92" i="150"/>
  <c r="G92" i="150"/>
  <c r="H91" i="150"/>
  <c r="G91" i="150"/>
  <c r="F90" i="150"/>
  <c r="E90" i="150"/>
  <c r="D90" i="150"/>
  <c r="C90" i="150"/>
  <c r="H89" i="150"/>
  <c r="G89" i="150"/>
  <c r="H88" i="150"/>
  <c r="G88" i="150"/>
  <c r="H87" i="150"/>
  <c r="G87" i="150"/>
  <c r="H86" i="150"/>
  <c r="G86" i="150"/>
  <c r="H85" i="150"/>
  <c r="G85" i="150"/>
  <c r="H84" i="150"/>
  <c r="G84" i="150"/>
  <c r="H83" i="150"/>
  <c r="G83" i="150"/>
  <c r="H82" i="150"/>
  <c r="G82" i="150"/>
  <c r="F81" i="150"/>
  <c r="E81" i="150"/>
  <c r="E79" i="150" s="1"/>
  <c r="D81" i="150"/>
  <c r="D79" i="150" s="1"/>
  <c r="C81" i="150"/>
  <c r="H80" i="150"/>
  <c r="G80"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H68" i="150" s="1"/>
  <c r="C68" i="150"/>
  <c r="H67" i="150"/>
  <c r="G67" i="150"/>
  <c r="H66" i="150"/>
  <c r="G66" i="150"/>
  <c r="H65" i="150"/>
  <c r="G65" i="150"/>
  <c r="H64" i="150"/>
  <c r="G64" i="150"/>
  <c r="H63" i="150"/>
  <c r="G63" i="150"/>
  <c r="F62" i="150"/>
  <c r="F60" i="150" s="1"/>
  <c r="E62" i="150"/>
  <c r="E60" i="150" s="1"/>
  <c r="D62" i="150"/>
  <c r="C62" i="150"/>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C44" i="150"/>
  <c r="H43" i="150"/>
  <c r="G43" i="150"/>
  <c r="H42" i="150"/>
  <c r="G42" i="150"/>
  <c r="H41" i="150"/>
  <c r="G41" i="150"/>
  <c r="F40" i="150"/>
  <c r="D40" i="150"/>
  <c r="E40" i="150"/>
  <c r="C40" i="150"/>
  <c r="G40" i="150" s="1"/>
  <c r="H39" i="150"/>
  <c r="G39" i="150"/>
  <c r="H38" i="150"/>
  <c r="G38" i="150"/>
  <c r="H37" i="150"/>
  <c r="G37" i="150"/>
  <c r="H36" i="150"/>
  <c r="G36" i="150"/>
  <c r="H35" i="150"/>
  <c r="G35" i="150"/>
  <c r="H34" i="150"/>
  <c r="G34" i="150"/>
  <c r="H33" i="150"/>
  <c r="G33" i="150"/>
  <c r="F32" i="150"/>
  <c r="E32" i="150"/>
  <c r="G32" i="150" s="1"/>
  <c r="D32" i="150"/>
  <c r="C32" i="150"/>
  <c r="H31" i="150"/>
  <c r="G31" i="150"/>
  <c r="H30" i="150"/>
  <c r="G30" i="150"/>
  <c r="H29" i="150"/>
  <c r="G29" i="150"/>
  <c r="H28" i="150"/>
  <c r="G28" i="150"/>
  <c r="F27" i="150"/>
  <c r="E27" i="150"/>
  <c r="G27" i="150" s="1"/>
  <c r="D27" i="150"/>
  <c r="C27" i="150"/>
  <c r="H25" i="150"/>
  <c r="G25" i="150"/>
  <c r="H24" i="150"/>
  <c r="G24" i="150"/>
  <c r="H23" i="150"/>
  <c r="G23" i="150"/>
  <c r="H22" i="150"/>
  <c r="G22" i="150"/>
  <c r="H21" i="150"/>
  <c r="G21" i="150"/>
  <c r="H20" i="150"/>
  <c r="G20" i="150"/>
  <c r="F19" i="150"/>
  <c r="E19" i="150"/>
  <c r="D19" i="150"/>
  <c r="C19" i="150"/>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s="1"/>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8" i="150" s="1"/>
  <c r="A89" i="150" s="1"/>
  <c r="A90" i="150" s="1"/>
  <c r="A91" i="150" s="1"/>
  <c r="A92" i="150" s="1"/>
  <c r="A94" i="150" s="1"/>
  <c r="A95" i="150" s="1"/>
  <c r="A96" i="150" s="1"/>
  <c r="A97" i="150" s="1"/>
  <c r="A98" i="150" s="1"/>
  <c r="A99" i="150" s="1"/>
  <c r="A100" i="150" s="1"/>
  <c r="A101" i="150" s="1"/>
  <c r="A102" i="150" s="1"/>
  <c r="F6" i="150"/>
  <c r="H6" i="150" s="1"/>
  <c r="E6" i="150"/>
  <c r="D6" i="150"/>
  <c r="C6" i="150"/>
  <c r="D11" i="154"/>
  <c r="C11" i="154"/>
  <c r="D5" i="154"/>
  <c r="C5" i="154"/>
  <c r="C25" i="142"/>
  <c r="H69" i="142"/>
  <c r="G69" i="142"/>
  <c r="H68" i="142"/>
  <c r="G68" i="142"/>
  <c r="H67" i="142"/>
  <c r="G67" i="142"/>
  <c r="H66" i="142"/>
  <c r="G66" i="142"/>
  <c r="H65" i="142"/>
  <c r="G65" i="142"/>
  <c r="H64" i="142"/>
  <c r="G64" i="142"/>
  <c r="H63" i="142"/>
  <c r="G63" i="142"/>
  <c r="H62" i="142"/>
  <c r="G62" i="142"/>
  <c r="H61" i="142"/>
  <c r="G61" i="142"/>
  <c r="G60" i="142"/>
  <c r="G59" i="142"/>
  <c r="G58" i="142"/>
  <c r="G57" i="142"/>
  <c r="G56" i="142"/>
  <c r="F55" i="142"/>
  <c r="H55" i="142" s="1"/>
  <c r="D55" i="142"/>
  <c r="E55" i="142"/>
  <c r="C55" i="142"/>
  <c r="H54" i="142"/>
  <c r="G54" i="142"/>
  <c r="H53" i="142"/>
  <c r="G53" i="142"/>
  <c r="H52" i="142"/>
  <c r="G52" i="142"/>
  <c r="H51" i="142"/>
  <c r="G51" i="142"/>
  <c r="H50" i="142"/>
  <c r="G50" i="142"/>
  <c r="H49" i="142"/>
  <c r="G49" i="142"/>
  <c r="H48" i="142"/>
  <c r="G48" i="142"/>
  <c r="H47" i="142"/>
  <c r="G47" i="142"/>
  <c r="H46" i="142"/>
  <c r="G46" i="142"/>
  <c r="H45" i="142"/>
  <c r="G45" i="142"/>
  <c r="H44" i="142"/>
  <c r="G44" i="142"/>
  <c r="H43" i="142"/>
  <c r="G43" i="142"/>
  <c r="A43" i="142"/>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A70" i="142" s="1"/>
  <c r="H42" i="142"/>
  <c r="G42" i="142"/>
  <c r="H41" i="142"/>
  <c r="G41" i="142"/>
  <c r="H40" i="142"/>
  <c r="G40" i="142"/>
  <c r="F39" i="142"/>
  <c r="E39" i="142"/>
  <c r="D39" i="142"/>
  <c r="C39" i="142"/>
  <c r="H38" i="142"/>
  <c r="G38" i="142"/>
  <c r="H37" i="142"/>
  <c r="G37" i="142"/>
  <c r="H36" i="142"/>
  <c r="G36" i="142"/>
  <c r="H35" i="142"/>
  <c r="G35" i="142"/>
  <c r="H34" i="142"/>
  <c r="G34" i="142"/>
  <c r="H33" i="142"/>
  <c r="G33" i="142"/>
  <c r="H32" i="142"/>
  <c r="G32" i="142"/>
  <c r="F31" i="142"/>
  <c r="D31" i="142"/>
  <c r="E31" i="142"/>
  <c r="C31" i="142"/>
  <c r="A31" i="142"/>
  <c r="A32" i="142" s="1"/>
  <c r="A33" i="142" s="1"/>
  <c r="A34" i="142" s="1"/>
  <c r="A35" i="142" s="1"/>
  <c r="A36" i="142" s="1"/>
  <c r="A37" i="142" s="1"/>
  <c r="H30" i="142"/>
  <c r="G30" i="142"/>
  <c r="H28" i="142"/>
  <c r="G28" i="142"/>
  <c r="H27" i="142"/>
  <c r="G27" i="142"/>
  <c r="H26" i="142"/>
  <c r="G26" i="142"/>
  <c r="F25" i="142"/>
  <c r="E25" i="142"/>
  <c r="D25" i="142"/>
  <c r="H25" i="142" s="1"/>
  <c r="H24" i="142"/>
  <c r="G24" i="142"/>
  <c r="H23" i="142"/>
  <c r="G23" i="142"/>
  <c r="H22" i="142"/>
  <c r="G22" i="142"/>
  <c r="F21" i="142"/>
  <c r="E21" i="142"/>
  <c r="D21" i="142"/>
  <c r="C21" i="142"/>
  <c r="H20" i="142"/>
  <c r="G20" i="142"/>
  <c r="H19" i="142"/>
  <c r="G19" i="142"/>
  <c r="H18" i="142"/>
  <c r="G18" i="142"/>
  <c r="H17" i="142"/>
  <c r="G17" i="142"/>
  <c r="H16" i="142"/>
  <c r="G16" i="142"/>
  <c r="H15" i="142"/>
  <c r="G15" i="142"/>
  <c r="H14" i="142"/>
  <c r="G14" i="142"/>
  <c r="H13" i="142"/>
  <c r="G13" i="142"/>
  <c r="H12" i="142"/>
  <c r="G12" i="142"/>
  <c r="F11" i="142"/>
  <c r="E11" i="142"/>
  <c r="D11" i="142"/>
  <c r="C11" i="142"/>
  <c r="G11" i="142" s="1"/>
  <c r="H10" i="142"/>
  <c r="G10" i="142"/>
  <c r="H9" i="142"/>
  <c r="G9" i="142"/>
  <c r="H8" i="142"/>
  <c r="G8" i="142"/>
  <c r="H7" i="142"/>
  <c r="G7" i="142"/>
  <c r="A7" i="142"/>
  <c r="A8" i="142" s="1"/>
  <c r="A9" i="142" s="1"/>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F6" i="142"/>
  <c r="E6" i="142"/>
  <c r="G6" i="142" s="1"/>
  <c r="D6" i="142"/>
  <c r="H6" i="142" s="1"/>
  <c r="C6" i="142"/>
  <c r="H90" i="150"/>
  <c r="D60" i="150"/>
  <c r="C79" i="150"/>
  <c r="G55" i="142"/>
  <c r="D16" i="116"/>
  <c r="C16" i="116"/>
  <c r="D15" i="116"/>
  <c r="C15" i="116"/>
  <c r="D12" i="116"/>
  <c r="C12" i="116"/>
  <c r="D11" i="116"/>
  <c r="C11" i="116"/>
  <c r="D10" i="116"/>
  <c r="C10" i="116"/>
  <c r="D9" i="116"/>
  <c r="C9" i="116"/>
  <c r="C13" i="116" s="1"/>
  <c r="A9" i="116"/>
  <c r="A10" i="116" s="1"/>
  <c r="A11" i="116" s="1"/>
  <c r="A12" i="116" s="1"/>
  <c r="A13" i="116" s="1"/>
  <c r="A14" i="116" s="1"/>
  <c r="A15" i="116" s="1"/>
  <c r="A16" i="116" s="1"/>
  <c r="A17" i="116" s="1"/>
  <c r="A18" i="116" s="1"/>
  <c r="F7" i="116"/>
  <c r="F8" i="116" s="1"/>
  <c r="E7" i="116"/>
  <c r="E8" i="116" s="1"/>
  <c r="A7" i="116"/>
  <c r="F6" i="116"/>
  <c r="E6" i="116"/>
  <c r="D19" i="146"/>
  <c r="D18" i="146"/>
  <c r="D17" i="146" s="1"/>
  <c r="D15" i="146"/>
  <c r="D13" i="146"/>
  <c r="D11" i="146"/>
  <c r="A6" i="146"/>
  <c r="A7" i="146" s="1"/>
  <c r="A8" i="146" s="1"/>
  <c r="A9" i="146" s="1"/>
  <c r="A10" i="146" s="1"/>
  <c r="A11" i="146" s="1"/>
  <c r="A12" i="146" s="1"/>
  <c r="A13" i="146" s="1"/>
  <c r="A15" i="146" s="1"/>
  <c r="A16" i="146" s="1"/>
  <c r="A17" i="146" s="1"/>
  <c r="A18" i="146" s="1"/>
  <c r="A19" i="146" s="1"/>
  <c r="A20" i="146" s="1"/>
  <c r="A21" i="146" s="1"/>
  <c r="C12" i="109"/>
  <c r="D22" i="144"/>
  <c r="E22" i="144"/>
  <c r="F22" i="144"/>
  <c r="C22" i="144"/>
  <c r="H25" i="149"/>
  <c r="G25" i="149"/>
  <c r="H24" i="149"/>
  <c r="G24" i="149"/>
  <c r="H23" i="149"/>
  <c r="G23" i="149"/>
  <c r="H22" i="149"/>
  <c r="G22" i="149"/>
  <c r="H21" i="149"/>
  <c r="G21" i="149"/>
  <c r="H20" i="149"/>
  <c r="G20" i="149"/>
  <c r="H19" i="149"/>
  <c r="G18" i="149"/>
  <c r="F17" i="149"/>
  <c r="F16" i="149" s="1"/>
  <c r="E17" i="149"/>
  <c r="E16" i="149" s="1"/>
  <c r="G16" i="149" s="1"/>
  <c r="D17" i="149"/>
  <c r="C17" i="149"/>
  <c r="C16" i="149" s="1"/>
  <c r="A17" i="149"/>
  <c r="H14" i="149"/>
  <c r="G13" i="149"/>
  <c r="F12" i="149"/>
  <c r="H12" i="149" s="1"/>
  <c r="E12" i="149"/>
  <c r="D12" i="149"/>
  <c r="C12" i="149"/>
  <c r="H11" i="149"/>
  <c r="G10" i="149"/>
  <c r="F9" i="149"/>
  <c r="E9" i="149"/>
  <c r="D9" i="149"/>
  <c r="C9" i="149"/>
  <c r="C15" i="149" s="1"/>
  <c r="H8" i="149"/>
  <c r="A8" i="149"/>
  <c r="A9" i="149" s="1"/>
  <c r="A10" i="149" s="1"/>
  <c r="A11" i="149" s="1"/>
  <c r="G7" i="149"/>
  <c r="F6" i="149"/>
  <c r="H6" i="149" s="1"/>
  <c r="E6" i="149"/>
  <c r="D6" i="149"/>
  <c r="C6" i="149"/>
  <c r="G6" i="149" s="1"/>
  <c r="E6" i="159"/>
  <c r="E7" i="159" s="1"/>
  <c r="D7" i="159"/>
  <c r="C7" i="159"/>
  <c r="D9" i="157"/>
  <c r="F6" i="157"/>
  <c r="F9" i="157" s="1"/>
  <c r="D19" i="144"/>
  <c r="E19" i="144"/>
  <c r="F19" i="144"/>
  <c r="D16" i="144"/>
  <c r="E16" i="144"/>
  <c r="F16" i="144"/>
  <c r="D13" i="144"/>
  <c r="E13" i="144"/>
  <c r="F13" i="144"/>
  <c r="D10" i="144"/>
  <c r="E10" i="144"/>
  <c r="F10" i="144"/>
  <c r="D7" i="144"/>
  <c r="E7" i="144"/>
  <c r="F7" i="144"/>
  <c r="E6" i="23"/>
  <c r="E14" i="23"/>
  <c r="E16" i="23"/>
  <c r="E17" i="23"/>
  <c r="E18" i="23"/>
  <c r="E8" i="23"/>
  <c r="E9" i="23"/>
  <c r="E10" i="23"/>
  <c r="E11" i="23"/>
  <c r="E12" i="23"/>
  <c r="D7" i="23"/>
  <c r="C7" i="23"/>
  <c r="E7" i="23"/>
  <c r="C7" i="144"/>
  <c r="C6" i="144" s="1"/>
  <c r="C10" i="144"/>
  <c r="C16" i="144"/>
  <c r="C19" i="144"/>
  <c r="C13" i="144"/>
  <c r="C9" i="157"/>
  <c r="E6" i="157" s="1"/>
  <c r="E9" i="157" s="1"/>
  <c r="J29" i="155"/>
  <c r="F29" i="155"/>
  <c r="J28" i="155"/>
  <c r="F28" i="155"/>
  <c r="K28" i="155" s="1"/>
  <c r="F27" i="155"/>
  <c r="F22" i="155" s="1"/>
  <c r="K22" i="155" s="1"/>
  <c r="J26" i="155"/>
  <c r="F26" i="155"/>
  <c r="K26" i="155" s="1"/>
  <c r="J25" i="155"/>
  <c r="F25" i="155"/>
  <c r="L25" i="155" s="1"/>
  <c r="J24" i="155"/>
  <c r="F24" i="155"/>
  <c r="K24" i="155"/>
  <c r="J23" i="155"/>
  <c r="J22" i="155" s="1"/>
  <c r="F23" i="155"/>
  <c r="K23" i="155"/>
  <c r="I22" i="155"/>
  <c r="H22" i="155"/>
  <c r="G22" i="155"/>
  <c r="J21" i="155"/>
  <c r="F21" i="155"/>
  <c r="K21" i="155" s="1"/>
  <c r="J20" i="155"/>
  <c r="F20" i="155"/>
  <c r="J19" i="155"/>
  <c r="F19" i="155"/>
  <c r="J18" i="155"/>
  <c r="F18" i="155"/>
  <c r="K18" i="155" s="1"/>
  <c r="J17" i="155"/>
  <c r="F17" i="155"/>
  <c r="K17" i="155" s="1"/>
  <c r="I16" i="155"/>
  <c r="H16" i="155"/>
  <c r="G16" i="155"/>
  <c r="E16" i="155"/>
  <c r="D16" i="155"/>
  <c r="C16" i="155"/>
  <c r="J15" i="155"/>
  <c r="F15" i="155"/>
  <c r="K15" i="155" s="1"/>
  <c r="J13" i="155"/>
  <c r="F13" i="155"/>
  <c r="J12" i="155"/>
  <c r="F12" i="155"/>
  <c r="J11" i="155"/>
  <c r="F11" i="155"/>
  <c r="K11" i="155" s="1"/>
  <c r="J10" i="155"/>
  <c r="F10" i="155"/>
  <c r="J9" i="155"/>
  <c r="F9" i="155"/>
  <c r="K9" i="155"/>
  <c r="J8" i="155"/>
  <c r="K8" i="155" s="1"/>
  <c r="F8" i="155"/>
  <c r="I7" i="155"/>
  <c r="H7" i="155"/>
  <c r="G7" i="155"/>
  <c r="E7" i="155"/>
  <c r="D7" i="155"/>
  <c r="C7" i="155"/>
  <c r="D17" i="3"/>
  <c r="D22" i="3"/>
  <c r="F43" i="133"/>
  <c r="F42" i="133"/>
  <c r="F40" i="134"/>
  <c r="F23" i="76"/>
  <c r="J23" i="76"/>
  <c r="F24" i="76"/>
  <c r="L24" i="155" s="1"/>
  <c r="J24" i="76"/>
  <c r="F25" i="76"/>
  <c r="J25" i="76"/>
  <c r="F26" i="76"/>
  <c r="J26" i="76"/>
  <c r="F5" i="134"/>
  <c r="F6" i="134"/>
  <c r="F7" i="134"/>
  <c r="F8" i="134"/>
  <c r="F9" i="134"/>
  <c r="F10" i="134"/>
  <c r="F11" i="134"/>
  <c r="F12" i="134"/>
  <c r="F13" i="134"/>
  <c r="F14" i="134"/>
  <c r="F15" i="134"/>
  <c r="F16" i="134"/>
  <c r="F17" i="134"/>
  <c r="F18" i="134"/>
  <c r="F19" i="134"/>
  <c r="F20" i="134"/>
  <c r="F21" i="134"/>
  <c r="F22" i="134"/>
  <c r="F23" i="134"/>
  <c r="F24" i="134"/>
  <c r="F25" i="134"/>
  <c r="F26" i="134"/>
  <c r="F27" i="134"/>
  <c r="F29" i="134"/>
  <c r="F30" i="134"/>
  <c r="F31" i="134"/>
  <c r="F32" i="134"/>
  <c r="F33" i="134"/>
  <c r="F34" i="134"/>
  <c r="F35" i="134"/>
  <c r="F36" i="134"/>
  <c r="F37" i="134"/>
  <c r="F38" i="134"/>
  <c r="F39" i="134"/>
  <c r="F41" i="134"/>
  <c r="D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1" i="133"/>
  <c r="F32" i="133"/>
  <c r="F33" i="133"/>
  <c r="F34" i="133"/>
  <c r="F35" i="133"/>
  <c r="F36" i="133"/>
  <c r="F37" i="133"/>
  <c r="F38" i="133"/>
  <c r="F39" i="133"/>
  <c r="D40" i="133"/>
  <c r="C6" i="61"/>
  <c r="E6" i="61" s="1"/>
  <c r="D6" i="61"/>
  <c r="A7" i="61"/>
  <c r="E7" i="61"/>
  <c r="A8" i="61"/>
  <c r="A9" i="61" s="1"/>
  <c r="A10" i="61" s="1"/>
  <c r="E8" i="61"/>
  <c r="E10" i="61"/>
  <c r="E12" i="61"/>
  <c r="E13" i="61"/>
  <c r="C15" i="61"/>
  <c r="E15" i="61" s="1"/>
  <c r="D15" i="61"/>
  <c r="E16" i="61"/>
  <c r="A7" i="109"/>
  <c r="A8" i="109" s="1"/>
  <c r="A9" i="109" s="1"/>
  <c r="A10" i="109" s="1"/>
  <c r="C11" i="109"/>
  <c r="E12" i="109"/>
  <c r="C7" i="76"/>
  <c r="F7" i="76" s="1"/>
  <c r="D7" i="76"/>
  <c r="E7" i="76"/>
  <c r="G7" i="76"/>
  <c r="H7" i="76"/>
  <c r="I7" i="76"/>
  <c r="F8" i="76"/>
  <c r="J8" i="76"/>
  <c r="F9" i="76"/>
  <c r="L9" i="155" s="1"/>
  <c r="J9" i="76"/>
  <c r="F10" i="76"/>
  <c r="J10" i="76"/>
  <c r="F11" i="76"/>
  <c r="K11" i="76" s="1"/>
  <c r="J11" i="76"/>
  <c r="F12" i="76"/>
  <c r="J12" i="76"/>
  <c r="F13" i="76"/>
  <c r="L13" i="155" s="1"/>
  <c r="J13" i="76"/>
  <c r="F15" i="76"/>
  <c r="J15" i="76"/>
  <c r="C16" i="76"/>
  <c r="F16" i="76" s="1"/>
  <c r="D16" i="76"/>
  <c r="E16" i="76"/>
  <c r="G16" i="76"/>
  <c r="J16" i="76" s="1"/>
  <c r="K16" i="76" s="1"/>
  <c r="H16" i="76"/>
  <c r="I16" i="76"/>
  <c r="F17" i="76"/>
  <c r="J17" i="76"/>
  <c r="L17" i="155" s="1"/>
  <c r="F18" i="76"/>
  <c r="L18" i="155" s="1"/>
  <c r="J18" i="76"/>
  <c r="F19" i="76"/>
  <c r="J19" i="76"/>
  <c r="L19" i="155" s="1"/>
  <c r="F20" i="76"/>
  <c r="J20" i="76"/>
  <c r="F21" i="76"/>
  <c r="J21" i="76"/>
  <c r="C22" i="76"/>
  <c r="D22" i="76"/>
  <c r="E22" i="76"/>
  <c r="G22" i="76"/>
  <c r="H22" i="76"/>
  <c r="I22" i="76"/>
  <c r="J22" i="76"/>
  <c r="F27" i="76"/>
  <c r="F22" i="76" s="1"/>
  <c r="F28" i="76"/>
  <c r="J28" i="76"/>
  <c r="F29" i="76"/>
  <c r="J29" i="76"/>
  <c r="D30" i="76"/>
  <c r="G30" i="76"/>
  <c r="C5" i="3"/>
  <c r="D5" i="3"/>
  <c r="D36" i="3" s="1"/>
  <c r="E6" i="3"/>
  <c r="D9" i="3"/>
  <c r="E9" i="3" s="1"/>
  <c r="E10" i="3"/>
  <c r="C17" i="3"/>
  <c r="E18" i="3"/>
  <c r="E23" i="3"/>
  <c r="E34" i="3"/>
  <c r="E35" i="3"/>
  <c r="C5" i="23"/>
  <c r="D5" i="23"/>
  <c r="A6" i="23"/>
  <c r="A7" i="23" s="1"/>
  <c r="A8" i="23" s="1"/>
  <c r="A9" i="23" s="1"/>
  <c r="A10" i="23" s="1"/>
  <c r="A11" i="23" s="1"/>
  <c r="A12" i="23" s="1"/>
  <c r="A13" i="23" s="1"/>
  <c r="A14" i="23" s="1"/>
  <c r="A15" i="23" s="1"/>
  <c r="A16" i="23" s="1"/>
  <c r="A17" i="23" s="1"/>
  <c r="A18" i="23" s="1"/>
  <c r="A19" i="23" s="1"/>
  <c r="C13" i="23"/>
  <c r="D13" i="23"/>
  <c r="C15" i="23"/>
  <c r="D15" i="23"/>
  <c r="I30" i="155"/>
  <c r="J7" i="155"/>
  <c r="K29" i="155"/>
  <c r="E30" i="76"/>
  <c r="G30" i="155"/>
  <c r="K10" i="155"/>
  <c r="C30" i="155"/>
  <c r="F16" i="155"/>
  <c r="I30" i="76"/>
  <c r="E6" i="144"/>
  <c r="D15" i="149"/>
  <c r="E15" i="23"/>
  <c r="K24" i="76"/>
  <c r="K29" i="76"/>
  <c r="K15" i="76"/>
  <c r="K10" i="76"/>
  <c r="D18" i="61"/>
  <c r="C30" i="76"/>
  <c r="L21" i="155"/>
  <c r="K25" i="76"/>
  <c r="L23" i="155"/>
  <c r="K23" i="76"/>
  <c r="K13" i="76"/>
  <c r="K9" i="76"/>
  <c r="D16" i="149"/>
  <c r="M6" i="97"/>
  <c r="E28" i="134"/>
  <c r="E42" i="134" s="1"/>
  <c r="D6" i="144" l="1"/>
  <c r="G17" i="149"/>
  <c r="G9" i="149"/>
  <c r="G12" i="149"/>
  <c r="H17" i="145"/>
  <c r="D21" i="146"/>
  <c r="D14" i="116"/>
  <c r="H60" i="150"/>
  <c r="G62" i="150"/>
  <c r="D102" i="150"/>
  <c r="H40" i="150"/>
  <c r="H19" i="150"/>
  <c r="C60" i="150"/>
  <c r="G90" i="150"/>
  <c r="G79" i="150"/>
  <c r="G81" i="150"/>
  <c r="H62" i="150"/>
  <c r="G6" i="150"/>
  <c r="G19" i="150"/>
  <c r="G39" i="142"/>
  <c r="H31" i="142"/>
  <c r="E17" i="3"/>
  <c r="E5" i="3"/>
  <c r="C19" i="23"/>
  <c r="F28" i="134"/>
  <c r="C26" i="149"/>
  <c r="E5" i="23"/>
  <c r="K18" i="76"/>
  <c r="F7" i="155"/>
  <c r="K13" i="155"/>
  <c r="K25" i="155"/>
  <c r="E70" i="142"/>
  <c r="F42" i="134"/>
  <c r="L10" i="155"/>
  <c r="L12" i="155"/>
  <c r="K20" i="155"/>
  <c r="C14" i="116"/>
  <c r="C18" i="116" s="1"/>
  <c r="G21" i="142"/>
  <c r="G31" i="142"/>
  <c r="H27" i="150"/>
  <c r="H32" i="150"/>
  <c r="G44" i="150"/>
  <c r="G68" i="150"/>
  <c r="C22" i="3"/>
  <c r="C36" i="3" s="1"/>
  <c r="E36" i="3" s="1"/>
  <c r="D26" i="149"/>
  <c r="E13" i="23"/>
  <c r="L29" i="155"/>
  <c r="K21" i="76"/>
  <c r="K19" i="76"/>
  <c r="K17" i="76"/>
  <c r="K12" i="76"/>
  <c r="J7" i="76"/>
  <c r="J30" i="76" s="1"/>
  <c r="D30" i="155"/>
  <c r="J16" i="155"/>
  <c r="K16" i="155" s="1"/>
  <c r="K19" i="155"/>
  <c r="D13" i="116"/>
  <c r="F70" i="142"/>
  <c r="H21" i="142"/>
  <c r="H39" i="142"/>
  <c r="L17" i="145"/>
  <c r="K7" i="155"/>
  <c r="F30" i="155"/>
  <c r="L7" i="155"/>
  <c r="F30" i="76"/>
  <c r="K7" i="76"/>
  <c r="K20" i="76"/>
  <c r="L20" i="155"/>
  <c r="E9" i="109"/>
  <c r="D41" i="133"/>
  <c r="D44" i="133"/>
  <c r="L26" i="155"/>
  <c r="K26" i="76"/>
  <c r="H30" i="155"/>
  <c r="G15" i="149"/>
  <c r="C17" i="116"/>
  <c r="G25" i="142"/>
  <c r="E22" i="3"/>
  <c r="L11" i="155"/>
  <c r="E15" i="149"/>
  <c r="E26" i="149" s="1"/>
  <c r="E30" i="133"/>
  <c r="E30" i="155"/>
  <c r="K28" i="76"/>
  <c r="F6" i="144"/>
  <c r="F15" i="149"/>
  <c r="F26" i="149" s="1"/>
  <c r="H26" i="149" s="1"/>
  <c r="H44" i="150"/>
  <c r="G60" i="150"/>
  <c r="E102" i="150"/>
  <c r="E17" i="145"/>
  <c r="M7" i="145"/>
  <c r="L22" i="155"/>
  <c r="K22" i="76"/>
  <c r="H30" i="76"/>
  <c r="H16" i="149"/>
  <c r="L28" i="155"/>
  <c r="L15" i="155"/>
  <c r="K12" i="155"/>
  <c r="D19" i="23"/>
  <c r="L8" i="155"/>
  <c r="K8" i="76"/>
  <c r="C18" i="61"/>
  <c r="E18" i="61"/>
  <c r="H17" i="149"/>
  <c r="D17" i="116"/>
  <c r="H11" i="142"/>
  <c r="C12" i="146"/>
  <c r="D10" i="146" s="1"/>
  <c r="C21" i="146"/>
  <c r="D6" i="146"/>
  <c r="D20" i="146"/>
  <c r="D18" i="116"/>
  <c r="C102" i="150"/>
  <c r="D103" i="150" s="1"/>
  <c r="C70" i="142"/>
  <c r="G70" i="142" s="1"/>
  <c r="J10" i="91"/>
  <c r="J23" i="91" s="1"/>
  <c r="N7" i="145"/>
  <c r="C17" i="146"/>
  <c r="H9" i="149"/>
  <c r="H15" i="149" s="1"/>
  <c r="F79" i="150"/>
  <c r="H79" i="150" s="1"/>
  <c r="H81" i="150"/>
  <c r="D70" i="142"/>
  <c r="G26" i="149" l="1"/>
  <c r="H70" i="142"/>
  <c r="F71" i="142"/>
  <c r="C9" i="146"/>
  <c r="C5" i="146" s="1"/>
  <c r="C16" i="146" s="1"/>
  <c r="J30" i="155"/>
  <c r="K30" i="155" s="1"/>
  <c r="L16" i="155"/>
  <c r="E40" i="133"/>
  <c r="F30" i="133"/>
  <c r="F40" i="133" s="1"/>
  <c r="K30" i="76"/>
  <c r="L30" i="155"/>
  <c r="D71" i="142"/>
  <c r="F6" i="145"/>
  <c r="M17" i="145"/>
  <c r="F102" i="150"/>
  <c r="H102" i="150" s="1"/>
  <c r="E19" i="23"/>
  <c r="D12" i="146"/>
  <c r="D9" i="146"/>
  <c r="D5" i="146" s="1"/>
  <c r="D16" i="146" s="1"/>
  <c r="G102" i="150"/>
  <c r="E11" i="109"/>
  <c r="F103" i="150" l="1"/>
  <c r="F17" i="145"/>
  <c r="N17" i="145" s="1"/>
  <c r="N6" i="145"/>
  <c r="F41" i="133"/>
  <c r="F44" i="133"/>
  <c r="E44" i="133"/>
  <c r="E41" i="133"/>
</calcChain>
</file>

<file path=xl/comments1.xml><?xml version="1.0" encoding="utf-8"?>
<comments xmlns="http://schemas.openxmlformats.org/spreadsheetml/2006/main">
  <authors>
    <author>Ing.  Severská Emília</author>
  </authors>
  <commentList>
    <comment ref="C31" authorId="0" shapeId="0">
      <text>
        <r>
          <rPr>
            <b/>
            <sz val="8"/>
            <color indexed="81"/>
            <rFont val="Tahoma"/>
            <family val="2"/>
            <charset val="238"/>
          </rPr>
          <t>Ing.  Severská Emília:</t>
        </r>
        <r>
          <rPr>
            <sz val="8"/>
            <color indexed="81"/>
            <rFont val="Tahoma"/>
            <family val="2"/>
            <charset val="238"/>
          </rPr>
          <t xml:space="preserve">
stačilo upraviť vzorec</t>
        </r>
      </text>
    </comment>
  </commentList>
</comments>
</file>

<file path=xl/sharedStrings.xml><?xml version="1.0" encoding="utf-8"?>
<sst xmlns="http://schemas.openxmlformats.org/spreadsheetml/2006/main" count="1739" uniqueCount="1266">
  <si>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</si>
  <si>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</si>
  <si>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</si>
  <si>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</si>
  <si>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</si>
  <si>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</si>
  <si>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</si>
  <si>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</si>
  <si>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</si>
  <si>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</si>
  <si>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</si>
  <si>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</si>
  <si>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</si>
  <si>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</si>
  <si>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</si>
  <si>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</si>
  <si>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</si>
  <si>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</si>
  <si>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</si>
  <si>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</si>
  <si>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</si>
  <si>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</si>
  <si>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</si>
  <si>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</si>
  <si>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</si>
  <si>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</si>
  <si>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</si>
  <si>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</si>
  <si>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</si>
  <si>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</si>
  <si>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</si>
  <si>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</si>
  <si>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</si>
  <si>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</si>
  <si>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</si>
  <si>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</si>
  <si>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</si>
  <si>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</si>
  <si>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</si>
  <si>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</si>
  <si>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</si>
  <si>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</si>
  <si>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</si>
  <si>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</si>
  <si>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</si>
  <si>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</si>
  <si>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</si>
  <si>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</si>
  <si>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T16_R17</t>
  </si>
  <si>
    <t>Kontrola</t>
  </si>
  <si>
    <t>Poznámky</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</si>
  <si>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</si>
  <si>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</si>
  <si>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</si>
  <si>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</si>
  <si>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</si>
  <si>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</si>
  <si>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</si>
  <si>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</si>
  <si>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</si>
  <si>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</si>
  <si>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</si>
  <si>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</si>
  <si>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</si>
  <si>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</si>
  <si>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</si>
  <si>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</si>
  <si>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</si>
  <si>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</si>
  <si>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</si>
  <si>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</si>
  <si>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</si>
  <si>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</si>
  <si>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</si>
  <si>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</si>
  <si>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</si>
  <si>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</si>
  <si>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</si>
  <si>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</si>
  <si>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</si>
  <si>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</si>
  <si>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</si>
  <si>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</si>
  <si>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</si>
  <si>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</si>
  <si>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</si>
  <si>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</si>
  <si>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</si>
  <si>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</si>
  <si>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</si>
  <si>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</si>
  <si>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</si>
  <si>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</si>
  <si>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</si>
  <si>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</si>
  <si>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</si>
  <si>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</si>
  <si>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</si>
  <si>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</si>
  <si>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</si>
  <si>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</si>
  <si>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</si>
  <si>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</si>
  <si>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</si>
  <si>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</si>
  <si>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</si>
  <si>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</si>
  <si>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</si>
  <si>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</si>
  <si>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</si>
  <si>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</si>
  <si>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</si>
  <si>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</si>
  <si>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</si>
  <si>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</si>
  <si>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</si>
  <si>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</si>
  <si>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</si>
  <si>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</si>
  <si>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prospechové </t>
    </r>
    <r>
      <rPr>
        <sz val="12"/>
        <rFont val="Times New Roman"/>
        <family val="1"/>
        <charset val="238"/>
      </rPr>
      <t xml:space="preserve">[R3+R4] </t>
    </r>
  </si>
  <si>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</si>
  <si>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</si>
  <si>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</si>
  <si>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</si>
  <si>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</si>
  <si>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</si>
  <si>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</si>
  <si>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</si>
  <si>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</si>
  <si>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</si>
  <si>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</si>
  <si>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</si>
  <si>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</si>
  <si>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</si>
  <si>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</si>
  <si>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</si>
  <si>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</si>
  <si>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</si>
  <si>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</si>
  <si>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</si>
  <si>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</si>
  <si>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</si>
  <si>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</si>
  <si>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</si>
  <si>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</si>
  <si>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</si>
  <si>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</si>
  <si>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</si>
  <si>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</si>
  <si>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</si>
  <si>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</si>
  <si>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</si>
  <si>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</si>
  <si>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</si>
  <si>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</si>
  <si>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</si>
  <si>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</si>
  <si>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</si>
  <si>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</si>
  <si>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</si>
  <si>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</si>
  <si>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</si>
  <si>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</si>
  <si>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</si>
  <si>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</si>
  <si>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</si>
  <si>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</si>
  <si>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</si>
  <si>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</si>
  <si>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</si>
  <si>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</si>
  <si>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</si>
  <si>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</si>
  <si>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</si>
  <si>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</si>
  <si>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</si>
  <si>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</si>
  <si>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</si>
  <si>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</si>
  <si>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</si>
  <si>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</si>
  <si>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</si>
  <si>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</si>
  <si>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</si>
  <si>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</si>
  <si>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</si>
  <si>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</si>
  <si>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</si>
  <si>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</si>
  <si>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</si>
  <si>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</si>
  <si>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</si>
  <si>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</si>
  <si>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</si>
  <si>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</si>
  <si>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</si>
  <si>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</si>
  <si>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</si>
  <si>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</si>
  <si>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</si>
  <si>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</si>
  <si>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</si>
  <si>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</si>
  <si>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</si>
  <si>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</si>
  <si>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</si>
  <si>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</si>
  <si>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</si>
  <si>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</si>
  <si>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</si>
  <si>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</si>
  <si>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</si>
  <si>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</si>
  <si>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</si>
  <si>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</si>
  <si>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</si>
  <si>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</si>
  <si>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</si>
  <si>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</si>
  <si>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</si>
  <si>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</si>
  <si>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</si>
  <si>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</si>
  <si>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</si>
  <si>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</si>
  <si>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</si>
  <si>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</si>
  <si>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</si>
  <si>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</si>
  <si>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</si>
  <si>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</si>
  <si>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</si>
  <si>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</si>
  <si>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</si>
  <si>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</si>
  <si>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</si>
  <si>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</si>
  <si>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</si>
  <si>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</si>
  <si>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</si>
  <si>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</si>
  <si>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</si>
  <si>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</si>
  <si>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</si>
  <si>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</si>
  <si>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</si>
  <si>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</si>
  <si>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</si>
  <si>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</si>
  <si>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</si>
  <si>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</si>
  <si>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</si>
  <si>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</si>
  <si>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</si>
  <si>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</si>
  <si>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</si>
  <si>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</si>
  <si>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</si>
  <si>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</si>
  <si>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</si>
  <si>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</si>
  <si>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</si>
  <si>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</si>
  <si>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</si>
  <si>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</si>
  <si>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</si>
  <si>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</si>
  <si>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</si>
  <si>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</si>
  <si>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</si>
  <si>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</si>
  <si>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</si>
  <si>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</si>
  <si>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</si>
  <si>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</si>
  <si>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</si>
  <si>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xml:space="preserve">    - bežný účet pre študentské domovy</t>
  </si>
  <si>
    <t xml:space="preserve">    - bežný účet pre študentské jedálne</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</si>
  <si>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</si>
  <si>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</si>
  <si>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</si>
  <si>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</si>
  <si>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</si>
  <si>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</si>
  <si>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</si>
  <si>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</si>
  <si>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</si>
  <si>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</si>
  <si>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</si>
  <si>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</si>
  <si>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</si>
  <si>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</si>
  <si>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</si>
  <si>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</si>
  <si>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</si>
  <si>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</si>
  <si>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</si>
  <si>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</si>
  <si>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</si>
  <si>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</si>
  <si>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</si>
  <si>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</si>
  <si>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</si>
  <si>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</si>
  <si>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</si>
  <si>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</si>
  <si>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</si>
  <si>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</si>
  <si>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</si>
  <si>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</si>
  <si>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</si>
  <si>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Tabuľka 1</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</si>
  <si>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</si>
  <si>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</si>
  <si>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</si>
  <si>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</si>
  <si>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</si>
  <si>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</si>
  <si>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</si>
  <si>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</si>
  <si>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</si>
  <si>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</si>
  <si>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</si>
  <si>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</si>
  <si>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</si>
  <si>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</si>
  <si>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</si>
  <si>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</si>
  <si>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</si>
  <si>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</si>
  <si>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</si>
  <si>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</si>
  <si>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</si>
  <si>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</si>
  <si>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</si>
  <si>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</si>
  <si>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</si>
  <si>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</si>
  <si>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</si>
  <si>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</si>
  <si>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</si>
  <si>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</si>
  <si>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</si>
  <si>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</si>
  <si>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</si>
  <si>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</si>
  <si>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</si>
  <si>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</si>
  <si>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</si>
  <si>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</si>
  <si>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</si>
  <si>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</si>
  <si>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</si>
  <si>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</si>
  <si>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</si>
  <si>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</si>
  <si>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</si>
  <si>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</si>
  <si>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</si>
  <si>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</si>
  <si>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</si>
  <si>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</si>
  <si>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</si>
  <si>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</si>
  <si>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</si>
  <si>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</si>
  <si>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</si>
  <si>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</si>
  <si>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</si>
  <si>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</si>
  <si>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</si>
  <si>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</si>
  <si>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</si>
  <si>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</si>
  <si>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</si>
  <si>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</si>
  <si>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</si>
  <si>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</si>
  <si>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</si>
  <si>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</si>
  <si>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</si>
  <si>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</si>
  <si>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</si>
  <si>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</si>
  <si>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</si>
  <si>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</si>
  <si>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</si>
  <si>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</si>
  <si>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</si>
  <si>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</si>
  <si>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</si>
  <si>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</si>
  <si>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</si>
  <si>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</si>
  <si>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</si>
  <si>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</si>
  <si>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</si>
  <si>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 xml:space="preserve">    - bežný účet na riešenie úloh vedy a
      výskumu  zo SR, resp.zahraničia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</si>
  <si>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</si>
  <si>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</si>
  <si>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</si>
  <si>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</si>
  <si>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</si>
  <si>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</si>
  <si>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</si>
  <si>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</si>
  <si>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</si>
  <si>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</si>
  <si>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</si>
  <si>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</si>
  <si>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</si>
  <si>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</si>
  <si>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</si>
  <si>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</si>
  <si>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</si>
  <si>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</si>
  <si>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</si>
  <si>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</si>
  <si>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</si>
  <si>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</si>
  <si>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</si>
  <si>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</si>
  <si>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</si>
  <si>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</si>
  <si>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</si>
  <si>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</si>
  <si>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</si>
  <si>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</si>
  <si>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</si>
  <si>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</si>
  <si>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</si>
  <si>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</si>
  <si>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</si>
  <si>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</si>
  <si>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</si>
  <si>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</si>
  <si>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</si>
  <si>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</si>
  <si>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</si>
  <si>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</si>
  <si>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</si>
  <si>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</si>
  <si>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</si>
  <si>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</si>
  <si>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</si>
  <si>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</si>
  <si>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</si>
  <si>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</si>
  <si>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</si>
  <si>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</si>
  <si>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</si>
  <si>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</si>
  <si>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</si>
  <si>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</si>
  <si>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</si>
  <si>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</si>
  <si>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</si>
  <si>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</si>
  <si>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</si>
  <si>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</si>
  <si>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</si>
  <si>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</si>
  <si>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</si>
  <si>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</si>
  <si>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</si>
  <si>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</si>
  <si>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</si>
  <si>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</si>
  <si>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</si>
  <si>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</si>
  <si>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</si>
  <si>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</si>
  <si>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</si>
  <si>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</si>
  <si>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</si>
  <si>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</si>
  <si>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</si>
  <si>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</si>
  <si>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</si>
  <si>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</si>
  <si>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</si>
  <si>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</si>
  <si>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</si>
  <si>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</si>
  <si>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</si>
  <si>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</si>
  <si>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</si>
  <si>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</si>
  <si>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</si>
  <si>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</si>
  <si>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</si>
  <si>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</si>
  <si>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</si>
  <si>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</si>
  <si>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</si>
  <si>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</si>
  <si>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</si>
  <si>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</si>
  <si>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</si>
  <si>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</si>
  <si>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</si>
  <si>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</si>
  <si>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</si>
  <si>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</si>
  <si>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</si>
  <si>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</si>
  <si>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</si>
  <si>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</si>
  <si>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</si>
  <si>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</si>
  <si>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</si>
  <si>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</si>
  <si>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</si>
  <si>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</si>
  <si>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</si>
  <si>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</si>
  <si>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</si>
  <si>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</si>
  <si>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</si>
  <si>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</si>
  <si>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</si>
  <si>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</si>
  <si>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</si>
  <si>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</si>
  <si>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</si>
  <si>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</si>
  <si>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</si>
  <si>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</si>
  <si>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</si>
  <si>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</si>
  <si>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</si>
  <si>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</si>
  <si>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</si>
  <si>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</si>
  <si>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</si>
  <si>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</si>
  <si>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</si>
  <si>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</si>
  <si>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</si>
  <si>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</si>
  <si>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</si>
  <si>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</si>
  <si>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</si>
  <si>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</si>
  <si>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</si>
  <si>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</si>
  <si>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</si>
  <si>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</si>
  <si>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</si>
  <si>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</si>
  <si>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</si>
  <si>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</si>
  <si>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</si>
  <si>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</si>
  <si>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</si>
  <si>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</si>
  <si>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</si>
  <si>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</si>
  <si>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</si>
  <si>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</si>
  <si>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</si>
  <si>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</si>
  <si>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</si>
  <si>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</si>
  <si>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</si>
  <si>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</si>
  <si>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</si>
  <si>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</si>
  <si>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</si>
  <si>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</si>
  <si>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</si>
  <si>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</si>
  <si>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</si>
  <si>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</si>
  <si>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</si>
  <si>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</si>
  <si>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</si>
  <si>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</si>
  <si>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</si>
  <si>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</si>
  <si>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</si>
  <si>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</si>
  <si>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</si>
  <si>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</si>
  <si>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</si>
  <si>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</si>
  <si>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</si>
  <si>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</si>
  <si>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</si>
  <si>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</si>
  <si>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</si>
  <si>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</si>
  <si>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</si>
  <si>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</si>
  <si>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</si>
  <si>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</si>
  <si>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</si>
  <si>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</si>
  <si>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</si>
  <si>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</si>
  <si>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</si>
  <si>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</si>
  <si>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</si>
  <si>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</si>
  <si>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</si>
  <si>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</si>
  <si>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</si>
  <si>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</si>
  <si>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</si>
  <si>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</si>
  <si>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</si>
  <si>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</si>
  <si>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</si>
  <si>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</si>
  <si>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</si>
  <si>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</si>
  <si>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</si>
  <si>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</si>
  <si>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</si>
  <si>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</si>
  <si>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</si>
  <si>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</si>
  <si>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</si>
  <si>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</si>
  <si>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</si>
  <si>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</si>
  <si>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</si>
  <si>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</si>
  <si>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</si>
  <si>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</si>
  <si>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</si>
  <si>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</si>
  <si>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</si>
  <si>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</si>
  <si>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</si>
  <si>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</si>
  <si>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</si>
  <si>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</si>
  <si>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</si>
  <si>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</si>
  <si>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</si>
  <si>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</si>
  <si>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</si>
  <si>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</si>
  <si>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</si>
  <si>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</si>
  <si>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</si>
  <si>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</si>
  <si>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</si>
  <si>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</si>
  <si>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</si>
  <si>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</si>
  <si>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</si>
  <si>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</si>
  <si>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</si>
  <si>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</si>
  <si>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</si>
  <si>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</si>
  <si>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</si>
  <si>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</si>
  <si>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</si>
  <si>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</si>
  <si>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</si>
  <si>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</si>
  <si>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</si>
  <si>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</si>
  <si>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</si>
  <si>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</si>
  <si>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</si>
  <si>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</si>
  <si>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</si>
  <si>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</si>
  <si>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</si>
  <si>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</si>
  <si>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</si>
  <si>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</si>
  <si>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</si>
  <si>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</si>
  <si>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</si>
  <si>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</si>
  <si>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</si>
  <si>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</si>
  <si>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</si>
  <si>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</si>
  <si>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</si>
  <si>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</si>
  <si>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</si>
  <si>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</si>
  <si>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</si>
  <si>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</si>
  <si>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</si>
  <si>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</si>
  <si>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</si>
  <si>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</si>
  <si>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</si>
  <si>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</si>
  <si>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</si>
  <si>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</si>
  <si>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</si>
  <si>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</si>
  <si>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</si>
  <si>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</si>
  <si>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</si>
  <si>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</si>
  <si>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</si>
  <si>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</si>
  <si>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</si>
  <si>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</si>
  <si>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</si>
  <si>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</si>
  <si>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</si>
  <si>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</si>
  <si>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</si>
  <si>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</si>
  <si>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</si>
  <si>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</si>
  <si>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</si>
  <si>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</si>
  <si>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</si>
  <si>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</si>
  <si>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</si>
  <si>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</si>
  <si>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</si>
  <si>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</si>
  <si>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</si>
  <si>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</si>
  <si>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</si>
  <si>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</si>
  <si>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</si>
  <si>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Čerpanie z iných zdrojov</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</si>
  <si>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</si>
  <si>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</si>
  <si>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</si>
  <si>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</si>
  <si>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</si>
  <si>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</si>
  <si>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</si>
  <si>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</si>
  <si>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</si>
  <si>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</si>
  <si>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</si>
  <si>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</si>
  <si>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</si>
  <si>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</si>
  <si>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</si>
  <si>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</si>
  <si>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</si>
  <si>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</si>
  <si>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</si>
  <si>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</si>
  <si>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</si>
  <si>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</si>
  <si>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</si>
  <si>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</si>
  <si>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</si>
  <si>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</si>
  <si>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</si>
  <si>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</si>
  <si>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</si>
  <si>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</si>
  <si>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</si>
  <si>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</si>
  <si>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</si>
  <si>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</si>
  <si>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</si>
  <si>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</si>
  <si>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</si>
  <si>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</si>
  <si>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</si>
  <si>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</si>
  <si>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</si>
  <si>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</si>
  <si>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</si>
  <si>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</si>
  <si>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</si>
  <si>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</si>
  <si>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</si>
  <si>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</si>
  <si>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</si>
  <si>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</si>
  <si>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</si>
  <si>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</si>
  <si>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</si>
  <si>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</si>
  <si>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</si>
  <si>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</si>
  <si>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</si>
  <si>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</si>
  <si>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</si>
  <si>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</si>
  <si>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</si>
  <si>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</si>
  <si>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</si>
  <si>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</si>
  <si>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</si>
  <si>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</si>
  <si>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</si>
  <si>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</si>
  <si>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</si>
  <si>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</si>
  <si>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</si>
  <si>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</si>
  <si>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</si>
  <si>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</si>
  <si>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</si>
  <si>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</si>
  <si>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</si>
  <si>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</si>
  <si>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</si>
  <si>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</si>
  <si>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</si>
  <si>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</si>
  <si>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</si>
  <si>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</si>
  <si>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</si>
  <si>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</si>
  <si>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</si>
  <si>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</si>
  <si>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</si>
  <si>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</si>
  <si>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bezpečnostný príplatok z UD MSSR</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</si>
  <si>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</si>
  <si>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</si>
  <si>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</si>
  <si>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</si>
  <si>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</si>
  <si>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</si>
  <si>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</si>
  <si>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</si>
  <si>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</si>
  <si>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</si>
  <si>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</si>
  <si>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NeúčelD MSSR</t>
  </si>
  <si>
    <t>základné z UD MSSR, po dizer. sk.</t>
  </si>
  <si>
    <t>základné z UD MSSR, pred dizer.sk.</t>
  </si>
  <si>
    <t>zvýšenie PhD. štipendia z UD MSSR</t>
  </si>
  <si>
    <t>Kódy z Centrálneho registra študentov</t>
  </si>
  <si>
    <t>Kódy z CRŠ</t>
  </si>
  <si>
    <t>DrŠ</t>
  </si>
  <si>
    <t>zvýšenie PhD. štipendia z Neúčel D MSSR</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</si>
  <si>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</si>
  <si>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</si>
  <si>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</si>
  <si>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</si>
  <si>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</si>
  <si>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</si>
  <si>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</si>
  <si>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</si>
  <si>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</si>
  <si>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</si>
  <si>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</si>
  <si>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</si>
  <si>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</si>
  <si>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</si>
  <si>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</si>
  <si>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</si>
  <si>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</si>
  <si>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</si>
  <si>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T4_R14</t>
  </si>
  <si>
    <t>T4_R15</t>
  </si>
  <si>
    <t>Návrh na prídel do štipendijného fondu na základe rozhodnutia VVŠ, ktorý sa musí rovnať minimálne objemu z riadku R14.</t>
  </si>
  <si>
    <t>Tabuľka č. 6a poskytuje informácie o počte a štruktúre žien a objeme nákladov na mzdy verejnej vysokej školy (bez odvodov).</t>
  </si>
  <si>
    <t>Stav fondu k 1. 1. kalendárneho roku  v R1 sa  rovná stavu fondu k 31.12. predchádzajúceho roku v R12.</t>
  </si>
  <si>
    <t>T17_R8</t>
  </si>
  <si>
    <r>
      <t xml:space="preserve">zdroj 11S2; </t>
    </r>
    <r>
      <rPr>
        <b/>
        <sz val="12"/>
        <color indexed="10"/>
        <rFont val="Times New Roman"/>
        <family val="1"/>
        <charset val="238"/>
      </rPr>
      <t>13S2</t>
    </r>
  </si>
  <si>
    <r>
      <t>zdroj 11T  +</t>
    </r>
    <r>
      <rPr>
        <b/>
        <sz val="12"/>
        <color indexed="10"/>
        <rFont val="Times New Roman"/>
        <family val="1"/>
        <charset val="238"/>
      </rPr>
      <t xml:space="preserve"> 13T</t>
    </r>
    <r>
      <rPr>
        <b/>
        <sz val="12"/>
        <rFont val="Times New Roman"/>
        <family val="1"/>
        <charset val="238"/>
      </rPr>
      <t xml:space="preserve"> spolu</t>
    </r>
  </si>
  <si>
    <r>
      <t xml:space="preserve">zdroj 11T1; </t>
    </r>
    <r>
      <rPr>
        <b/>
        <sz val="12"/>
        <color indexed="10"/>
        <rFont val="Times New Roman"/>
        <family val="1"/>
        <charset val="238"/>
      </rPr>
      <t>13T1</t>
    </r>
  </si>
  <si>
    <r>
      <t xml:space="preserve">zdroj 11T2; </t>
    </r>
    <r>
      <rPr>
        <b/>
        <sz val="12"/>
        <color indexed="10"/>
        <rFont val="Times New Roman"/>
        <family val="1"/>
        <charset val="238"/>
      </rPr>
      <t>13T2</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</si>
  <si>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</si>
  <si>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t>T6a_V1</t>
  </si>
  <si>
    <t>T13_R9_SF = T4_R15_SB</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</si>
  <si>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</si>
  <si>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</si>
  <si>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</si>
  <si>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V prípade, že časť dotácie škola posúva na zmluvné zariadenia, uveďe to do poznámky pod tabuľkou.</t>
  </si>
  <si>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</si>
  <si>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</si>
  <si>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</si>
  <si>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</si>
  <si>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</si>
  <si>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</si>
  <si>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T16_R18_SB = výkazníctvo, súvaha, časť Aktíva, riadok 053,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</si>
  <si>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</si>
  <si>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</si>
  <si>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</si>
  <si>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T13_SG(SH) uvádzajte tvorbu fondu podľa §16a bod d) zákona 131/2002 Z.z.,  t.j. fondu na podporu štúdia študentov so špecifickými potrebami</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</si>
  <si>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</si>
  <si>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</si>
  <si>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</si>
  <si>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</si>
  <si>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</si>
  <si>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</si>
  <si>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</si>
  <si>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</si>
  <si>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</si>
  <si>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</si>
  <si>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</si>
  <si>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</si>
  <si>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L= G+H+I+J+K</t>
  </si>
  <si>
    <t>-za dosiahnutie vynikajúceho výsledku v oblasti štúdia [R6+R7]</t>
  </si>
  <si>
    <t>-za dosiahnutie vynikajúceho výsledku vo výskume a vývoji [R9+R10]</t>
  </si>
  <si>
    <r>
      <t xml:space="preserve">- za umeleckú alebo športovú činnosť </t>
    </r>
    <r>
      <rPr>
        <sz val="12"/>
        <rFont val="Times New Roman"/>
        <family val="1"/>
        <charset val="238"/>
      </rPr>
      <t xml:space="preserve">[R11+R12]  </t>
    </r>
    <r>
      <rPr>
        <b/>
        <sz val="12"/>
        <rFont val="Times New Roman"/>
        <family val="1"/>
        <charset val="238"/>
      </rPr>
      <t xml:space="preserve">                                                     </t>
    </r>
  </si>
  <si>
    <r>
      <t xml:space="preserve">- na sociálnu podporu </t>
    </r>
    <r>
      <rPr>
        <sz val="12"/>
        <rFont val="Times New Roman"/>
        <family val="1"/>
        <charset val="238"/>
      </rPr>
      <t>[R15+R16]</t>
    </r>
  </si>
  <si>
    <t>T4_R6</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</si>
  <si>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</si>
  <si>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</si>
  <si>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</si>
  <si>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</si>
  <si>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</si>
  <si>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</si>
  <si>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</si>
  <si>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</si>
  <si>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</si>
  <si>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</si>
  <si>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</si>
  <si>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</si>
  <si>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</si>
  <si>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</si>
  <si>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</si>
  <si>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</si>
  <si>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</si>
  <si>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</si>
  <si>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</si>
  <si>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</si>
  <si>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t>- vložné na konferencie (649 018)</t>
  </si>
  <si>
    <t>Prijaté príspevky z verejných zbierok (667)</t>
  </si>
  <si>
    <t>T5_R90_(SA+SB)=T13_R5_SC
T5_R90_(SC+SD)=T13_R5_SD</t>
  </si>
  <si>
    <t>Náklady sú kontrolované na údaje z výkazníctva - tvorba fondu z likvidovaného / predaného majetku</t>
  </si>
  <si>
    <t>T11_SB_R10a = T17_SC+SD_R10</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</si>
  <si>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</si>
  <si>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</si>
  <si>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Vysoká škola uvedie len cudzincov, ktorým nevznikla povinnosť uhradiť školné z dôvodov uvedených v riadkoch R2 až R5</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</si>
  <si>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</si>
  <si>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</si>
  <si>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</si>
  <si>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</si>
  <si>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</si>
  <si>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</si>
  <si>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</si>
  <si>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</si>
  <si>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</si>
  <si>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</si>
  <si>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 telekomunikačná technika  (713 003), komunikačná infraštruktúra (713 006)</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</si>
  <si>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</si>
  <si>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</si>
  <si>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</si>
  <si>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</si>
  <si>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</si>
  <si>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</si>
  <si>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</si>
  <si>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</si>
  <si>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</si>
  <si>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</si>
  <si>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</si>
  <si>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</si>
  <si>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</si>
  <si>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</si>
  <si>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</si>
  <si>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</si>
  <si>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 zahraničné cestovné  (účet 512 002, 512 003,512 004, 512 052)</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</si>
  <si>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</si>
  <si>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</si>
  <si>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2017.</t>
    </r>
  </si>
  <si>
    <t>Tabuľka č.19 poskytuje informácie o objeme a štruktúre štipendií  vyplácaných verejnou vysokou školou z vlastných zdrojov podľa § 97 zákona. Neobsahuje (2017) údaje o "normálnych" štipendiách vyplatených doktorandom (t.j. podľa §54, ods.18 zákona)</t>
  </si>
  <si>
    <r>
      <t xml:space="preserve">  - poskytované mesačne </t>
    </r>
    <r>
      <rPr>
        <vertAlign val="superscript"/>
        <sz val="12"/>
        <rFont val="Times New Roman"/>
        <family val="1"/>
      </rPr>
      <t>1)</t>
    </r>
  </si>
  <si>
    <t>Stav k 31. 12. 2017</t>
  </si>
  <si>
    <t>Náklady
hlavnej činnosti
2017</t>
  </si>
  <si>
    <t>T5_R56_SC+SD &gt;=&lt; T6_R18_SH
T5_R77_(SC+SD) = T7_R1_SE
T5_R81_SC = T19_R1_SC</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</si>
  <si>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</si>
  <si>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</si>
  <si>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</si>
  <si>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</si>
  <si>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</si>
  <si>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</si>
  <si>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</si>
  <si>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</si>
  <si>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</si>
  <si>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</si>
  <si>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Prijaté príspevky od fyzických osôb 663</t>
  </si>
  <si>
    <t>C = A+B</t>
  </si>
  <si>
    <t>z  dotácií 
(ostatné kódy okrem kódu 13)</t>
  </si>
  <si>
    <t>Tabuľka č. 7 poskytuje informácie o  počte osobomesiacov interných doktorandov, o nákladoch vysokej školy na štipendiá doktorandov.</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</si>
  <si>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</si>
  <si>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</si>
  <si>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</si>
  <si>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</si>
  <si>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</si>
  <si>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</si>
  <si>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</si>
  <si>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</si>
  <si>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</si>
  <si>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</si>
  <si>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</si>
  <si>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</si>
  <si>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</si>
  <si>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</si>
  <si>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</si>
  <si>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</si>
  <si>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</si>
  <si>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</si>
  <si>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</si>
  <si>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</si>
  <si>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</si>
  <si>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</si>
  <si>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</si>
  <si>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</si>
  <si>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výnosy  účtu 648 (648 007-8, 648 016, 648 019, 648 022, 648 099)</t>
  </si>
  <si>
    <t xml:space="preserve">Pri vypĺňaní tabuľky je potrebné dodržiavať "Metodické usmernenie k vedeniu účtovníctva od 1. januára 2008 pre verejné vysoké školy používajúce finančný informačný systém SOFIA " </t>
  </si>
  <si>
    <t>T23_R24_SA_(SB)≤T19_R1_SA_(SC)
T23_R30_SA_(SB)=T4_R15_SA_(SB)</t>
  </si>
  <si>
    <t>- ostatné výnosy (účty 649 012, 649 021, 649 098, 649 099)</t>
  </si>
  <si>
    <t>- iné analyticky sledované náklady (účty 501 005-006, 501 013-018, 501 019, 501 077, 501 515)</t>
  </si>
  <si>
    <t xml:space="preserve">- iné analyticky sledované náklady (účty 518 003, 518 013, 518 015-018, 518 020-030, 518 031-034 , 518 040, 518 041, 518 529, 518 530, 518 599, 518 099, ) </t>
  </si>
  <si>
    <t>dňa 27.3.2018</t>
  </si>
  <si>
    <r>
      <t>Zákonné poplatky-</t>
    </r>
    <r>
      <rPr>
        <sz val="11"/>
        <color rgb="FFFF0000"/>
        <rFont val="Times New Roman"/>
        <family val="1"/>
        <charset val="238"/>
      </rPr>
      <t>školné</t>
    </r>
  </si>
  <si>
    <r>
      <t xml:space="preserve">zdroj 11S  + </t>
    </r>
    <r>
      <rPr>
        <b/>
        <sz val="12"/>
        <color indexed="10"/>
        <rFont val="Times New Roman"/>
        <family val="1"/>
        <charset val="238"/>
      </rPr>
      <t xml:space="preserve">13S </t>
    </r>
    <r>
      <rPr>
        <b/>
        <sz val="12"/>
        <rFont val="Times New Roman"/>
        <family val="1"/>
        <charset val="238"/>
      </rPr>
      <t>spolu</t>
    </r>
  </si>
  <si>
    <r>
      <t xml:space="preserve">zdroj 11S1; </t>
    </r>
    <r>
      <rPr>
        <b/>
        <sz val="12"/>
        <color indexed="10"/>
        <rFont val="Times New Roman"/>
        <family val="1"/>
        <charset val="238"/>
      </rPr>
      <t>13S1</t>
    </r>
  </si>
  <si>
    <t>zdroj 1AA + 3AA spolu</t>
  </si>
  <si>
    <r>
      <t xml:space="preserve">Dotácie z kapitoly MŠVVaŠ SR spolu </t>
    </r>
    <r>
      <rPr>
        <sz val="12"/>
        <rFont val="Times New Roman"/>
        <family val="1"/>
        <charset val="238"/>
      </rPr>
      <t>[R1+R4+</t>
    </r>
    <r>
      <rPr>
        <sz val="12"/>
        <color rgb="FF0000FF"/>
        <rFont val="Times New Roman"/>
        <family val="1"/>
        <charset val="238"/>
      </rPr>
      <t>R7</t>
    </r>
    <r>
      <rPr>
        <sz val="12"/>
        <rFont val="Times New Roman"/>
        <family val="1"/>
        <charset val="238"/>
      </rPr>
      <t>]</t>
    </r>
  </si>
  <si>
    <r>
      <t xml:space="preserve">Dotácie z iných kapitol spolu </t>
    </r>
    <r>
      <rPr>
        <sz val="12"/>
        <rFont val="Times New Roman"/>
        <family val="1"/>
        <charset val="238"/>
      </rPr>
      <t>[R12+SUM(R15:R15a...)]</t>
    </r>
  </si>
  <si>
    <t>zdroj 1AC + 3AC spolu</t>
  </si>
  <si>
    <t>zdroj 1AC1+3AC1</t>
  </si>
  <si>
    <t>zdroj 1AC2+3AC2</t>
  </si>
  <si>
    <r>
      <t>Dotácie z prostriedkov EÚ spolu</t>
    </r>
    <r>
      <rPr>
        <sz val="12"/>
        <color indexed="8"/>
        <rFont val="Times New Roman"/>
        <family val="1"/>
      </rPr>
      <t xml:space="preserve"> [R10+R11]</t>
    </r>
  </si>
  <si>
    <t>zdroj 1AA1; 3AA1</t>
  </si>
  <si>
    <t>zdroj 1AA2; 3AA2</t>
  </si>
  <si>
    <t>T12_R15</t>
  </si>
  <si>
    <t>Iné nezaradené</t>
  </si>
  <si>
    <t>V tomto riadku uvádzajte všetky ďalšie nezaradené výdavky nezaradené v predchádzajúcich riadkoch.</t>
  </si>
  <si>
    <t>Obsah tabuľkovej prílohy výročnej správy o hospodárení verejnej vysokej školy za rok 2018</t>
  </si>
  <si>
    <t>Vysvetlivky k tabuľkám výročnej správy o hospodárení verejných vysokých škôl za rok 2018</t>
  </si>
  <si>
    <t>Súvzťažnosti tabuliek výročnej správy o hospodárení verejných vysokých škôl za rok 2018</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</si>
  <si>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2018</t>
    </r>
    <r>
      <rPr>
        <sz val="12"/>
        <color rgb="FF00B050"/>
        <rFont val="Times New Roman"/>
        <family val="1"/>
        <charset val="238"/>
      </rPr>
      <t xml:space="preserve"> </t>
    </r>
    <r>
      <rPr>
        <sz val="12"/>
        <rFont val="Times New Roman"/>
        <family val="1"/>
        <charset val="238"/>
      </rPr>
      <t xml:space="preserve"> na programe 077 </t>
    </r>
  </si>
  <si>
    <r>
      <t>Príjmy verejnej vysokej školy v roku 2018</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</si>
  <si>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t>Výnosy verejnej vysokej školy v rokoch 2017 a 2018</t>
  </si>
  <si>
    <r>
      <t>Výnosy verejnej vysokej školy zo školného a z poplatkov spojených so štúdiom v rokoch 2017</t>
    </r>
    <r>
      <rPr>
        <sz val="12"/>
        <color indexed="10"/>
        <rFont val="Times New Roman"/>
        <family val="1"/>
        <charset val="238"/>
      </rPr>
      <t xml:space="preserve"> </t>
    </r>
    <r>
      <rPr>
        <sz val="12"/>
        <rFont val="Times New Roman"/>
        <family val="1"/>
        <charset val="238"/>
      </rPr>
      <t>a 2018</t>
    </r>
  </si>
  <si>
    <t>Náklady verejnej vysokej školy v rokoch 2017 a 2018</t>
  </si>
  <si>
    <t>Zamestnanci a náklady na mzdy verejnej vysokej školy v roku 2018</t>
  </si>
  <si>
    <r>
      <t>Zamestnanci a náklady na mzdy verejnej vysokej školy v roku 2018</t>
    </r>
    <r>
      <rPr>
        <sz val="12"/>
        <color theme="1"/>
        <rFont val="Times New Roman"/>
        <family val="1"/>
        <charset val="238"/>
      </rPr>
      <t xml:space="preserve"> - len ženy</t>
    </r>
  </si>
  <si>
    <t>Náklady verejnej vysokej školy na štipendiá interných doktorandov v roku 2018</t>
  </si>
  <si>
    <t>Údaje o systéme sociálnej podpory  - časť  sociálne štipendiá  (§ 96 zákona) za roky 2017 a 2018</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</si>
  <si>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2017 a 2018</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</si>
  <si>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2017 a 2018</t>
    </r>
  </si>
  <si>
    <t>Zdroje verejnej vysokej školy na obstaranie a technické zhodnotenie dlhodobého  majetku v rokoch 2017 a 2018</t>
  </si>
  <si>
    <t>Výdavky verejnej vysokej školy na obstaranie a technické zhodnotenie dlhodobého majetku v roku 2018</t>
  </si>
  <si>
    <r>
      <t>Stav a vývoj finančných fondov verejnej vysokej školy v rokoch 2017</t>
    </r>
    <r>
      <rPr>
        <sz val="12"/>
        <color indexed="10"/>
        <rFont val="Times New Roman"/>
        <family val="1"/>
        <charset val="238"/>
      </rPr>
      <t xml:space="preserve"> </t>
    </r>
    <r>
      <rPr>
        <sz val="12"/>
        <rFont val="Times New Roman"/>
        <family val="1"/>
        <charset val="238"/>
      </rPr>
      <t>a 2018</t>
    </r>
  </si>
  <si>
    <r>
      <t>Štruktúra a stav finančných prostriedkov na bankových účtoch verejnej vysokej školy k 31. decembru 2018</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</si>
  <si>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2018</t>
  </si>
  <si>
    <t>Štipendiá z vlastných zdrojov podľa § 97 zákona v rokoch 2017 a 2018</t>
  </si>
  <si>
    <t xml:space="preserve">Motivačné štipendiá  v rokoch 2017 a 2018 (v zmysle § 96a  zákona ) </t>
  </si>
  <si>
    <t>Štruktúra účtu 384 - výnosy budúcich období v rokoch 2017 a 2018</t>
  </si>
  <si>
    <t>Výnosy verejnej vysokej školy v roku 2018 v oblasti sociálnej podpory študentov</t>
  </si>
  <si>
    <r>
      <t>Náklady verejnej vysokej školy  v roku 2018</t>
    </r>
    <r>
      <rPr>
        <sz val="12"/>
        <color indexed="10"/>
        <rFont val="Times New Roman"/>
        <family val="1"/>
        <charset val="238"/>
      </rPr>
      <t xml:space="preserve"> </t>
    </r>
    <r>
      <rPr>
        <sz val="12"/>
        <rFont val="Times New Roman"/>
        <family val="1"/>
        <charset val="238"/>
      </rPr>
      <t>v oblasti sociálnej podpory študentov</t>
    </r>
  </si>
  <si>
    <t>Vysvetlivky k tabuľkám výročnej správy o hospodárení verejnej vysokej školy za rok 2018</t>
  </si>
  <si>
    <r>
      <t xml:space="preserve">Ak nie je uvedené inak, všetky údaje o výške finančných prostriedkov  z roku 2017 a 2018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</si>
  <si>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 xml:space="preserve">Tabuľka č. 3 poskytuje informácie o objeme a štruktúre výnosov  verejnej vysokej školy v rokoch 2017 a 2018.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</si>
  <si>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2018.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</si>
  <si>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2017 a 2018</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</si>
  <si>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2017</t>
    </r>
    <r>
      <rPr>
        <b/>
        <sz val="12"/>
        <color indexed="10"/>
        <rFont val="Times New Roman"/>
        <family val="1"/>
        <charset val="238"/>
      </rPr>
      <t xml:space="preserve"> </t>
    </r>
    <r>
      <rPr>
        <b/>
        <sz val="12"/>
        <rFont val="Times New Roman"/>
        <family val="1"/>
        <charset val="238"/>
      </rPr>
      <t xml:space="preserve">a  2018.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</si>
  <si>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2018.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</si>
  <si>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Príspevok na jedno jedlo zo štátneho rozpočtu bol po celý rok  2018</t>
    </r>
    <r>
      <rPr>
        <b/>
        <sz val="12"/>
        <color indexed="8"/>
        <rFont val="Times New Roman"/>
        <family val="1"/>
        <charset val="238"/>
      </rPr>
      <t xml:space="preserve"> vo výške  1 euro. </t>
    </r>
  </si>
  <si>
    <r>
      <t>Uvedie sa objem prijatej kapitálovej dotácie z rozpočtu kapitoly MŠVVaŠ SR a z iných rozpočtových kapitol v roku 2018</t>
    </r>
    <r>
      <rPr>
        <sz val="12"/>
        <color indexed="10"/>
        <rFont val="Times New Roman"/>
        <family val="1"/>
        <charset val="238"/>
      </rPr>
      <t xml:space="preserve"> </t>
    </r>
    <r>
      <rPr>
        <sz val="12"/>
        <color indexed="8"/>
        <rFont val="Times New Roman"/>
        <family val="1"/>
        <charset val="238"/>
      </rPr>
      <t>zo zdroja 111 (kapitálová dotácia, ktorá bola verejnej vysokej škole poukázaná na účet (cash) v sledovanom období,  účet 346002 - strana DAL)</t>
    </r>
  </si>
  <si>
    <t>Tabuľka č. 12 poskytuje informácie o štruktúre a objeme výdavkov, ktoré verejná vysoká škola  použila na obstaranie a technické zhodnotenie dlhodobého majetku v roku 2018.</t>
  </si>
  <si>
    <r>
      <t>Výdavky na obstaranie majetku kryté v priebehu roku 2018</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</si>
  <si>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2017 a 2018.</t>
  </si>
  <si>
    <r>
      <t>Uvedú sa sumárne stavy ostatných  fondov, ktoré vysoká škola vytvorila za roky 2017</t>
    </r>
    <r>
      <rPr>
        <sz val="12"/>
        <color indexed="10"/>
        <rFont val="Times New Roman"/>
        <family val="1"/>
        <charset val="238"/>
      </rPr>
      <t xml:space="preserve"> </t>
    </r>
    <r>
      <rPr>
        <sz val="12"/>
        <rFont val="Times New Roman"/>
        <family val="1"/>
        <charset val="238"/>
      </rPr>
      <t>a 2018 v zmysle §16a ods. 1 zákona č. 131/2002 Z. z. o vysokých školách v znení neskorších predpisov.</t>
    </r>
  </si>
  <si>
    <t>Tabuľka č. 16 poskytuje informácie o objeme a štruktúre finančných prostriedkov na bankových účtoch verejnej vysokej školy  k 31. 12. 2018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</si>
  <si>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r>
      <t>Ak má VVŠ finančné prostriedky zaúčtované na účte 261 - peniaze na ceste, z dôvodu kontroly stavu na bankových účtoch k 31. 12. 2018</t>
    </r>
    <r>
      <rPr>
        <sz val="12"/>
        <color rgb="FFFF0000"/>
        <rFont val="Times New Roman"/>
        <family val="1"/>
        <charset val="238"/>
      </rPr>
      <t xml:space="preserve"> </t>
    </r>
    <r>
      <rPr>
        <sz val="12"/>
        <rFont val="Times New Roman"/>
        <family val="1"/>
        <charset val="238"/>
      </rPr>
      <t xml:space="preserve">na údaje zo súvahy, uvedie ich v tomto riadku. </t>
    </r>
  </si>
  <si>
    <r>
      <t>Tabuľka č. 17 obsahuje informácie o celkovom objeme príjmov z dotácií, poskytnutých verejnej vysokej škole v roku 2018</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</si>
  <si>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 xml:space="preserve">Ak VVŠ obdržala finančné prostriedky aj z inej kapitoly štátneho rozpočtu, uvádzajú sa osobitne. Tieto dotácie sa evidujú na zdrojoch podľa platnej rozpočtovej klasifikácie na rok 2018 a nie sú súčasťou dotácií, vykazovaných v T2_R1.  </t>
  </si>
  <si>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</si>
  <si>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</si>
  <si>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r>
      <t>Uvedie sa zostatok kapitálovej dotácie na obstaranie a technické zhodnotenie dlhodobého majetku (nevyčerpané finančné  prostriedky k 31. 12. 2017</t>
    </r>
    <r>
      <rPr>
        <sz val="12"/>
        <color indexed="10"/>
        <rFont val="Times New Roman"/>
        <family val="1"/>
        <charset val="238"/>
      </rPr>
      <t xml:space="preserve"> </t>
    </r>
    <r>
      <rPr>
        <sz val="12"/>
        <color indexed="8"/>
        <rFont val="Times New Roman"/>
        <family val="1"/>
        <charset val="238"/>
      </rPr>
      <t>(stĺpec SA v R11), resp. k 31. 12. 2018 (stĺpec SB v R11) na zdrojoch 131x, 13S1, 13S2, 13T1,13T2.....(zostatky zo ŠR aj zo ŠF)</t>
    </r>
  </si>
  <si>
    <t>Bežná a kapitálová dotácia je kontrolovaná na Zmluvu o poskytnutí  dotácií  zo štátneho rozpočtu prostredníctvom kapitoly MŠVVaŠ (ďalej len "dotačná zmluva") a jej dodatkov na rok 2018 na  programe  077.</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</si>
  <si>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</si>
  <si>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r>
      <t>Údaje v riadkoch R1:R6, R7, R9, R13, R14, R16, R17  sú kontrolované s údajmi v štatistickom výkaze Škol (MŠ SR) 2-04 za rok 2018</t>
    </r>
    <r>
      <rPr>
        <sz val="12"/>
        <color indexed="10"/>
        <rFont val="Times New Roman"/>
        <family val="1"/>
        <charset val="238"/>
      </rPr>
      <t>.</t>
    </r>
    <r>
      <rPr>
        <sz val="12"/>
        <rFont val="Times New Roman"/>
        <family val="1"/>
        <charset val="238"/>
      </rPr>
      <t xml:space="preserve"> 
Údaje v riadkoch 15a ... (špecifiká) sú kontrolované na rozpis dotácie v roku 2018.</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</si>
  <si>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sú kontrolované na  dotačné zmluvy a na účelovú dotáciu na rok 2017, 2018. Za rok 2018 na T1_R12_SA.
Údaje v T8_R1_SC by sa mali rovnať údajom z CRŠ kód 1.</t>
  </si>
  <si>
    <t>T1 = dotačná zmluva na 2018</t>
  </si>
  <si>
    <t xml:space="preserve"> T7_R1_SC = T5_R77_(SC +SD),
</t>
  </si>
  <si>
    <t>T8_R5_SA (SC) = dotačná zmluva na rok 2017 (2018), prvok 077 15 01 - účelové prostriedky na sociálne štipendiá</t>
  </si>
  <si>
    <t>T8_R5_SC= T1_R12_SA
T8_R4_SC = zostatok k 31.12.2017
T8_R6_SA = T8_R4_SC 
T8_R1_SA (SC)  ≤ T13_R11_SE (SF)</t>
  </si>
  <si>
    <t>Údaj v T8_R4_SA predstavuje zostatok nevyčerpanej dotácie z predchádzajúceho roka, t. j. k 31. 12. 2017.  
Údaj v T8_R6_SA (SC) predstavuje zostatok nevyčerpanej dotácie k 31. 12. príslušného roka (2017, resp. 2018) a ich hodnoty sa vypočítajú z ostatných uvedených údajov. Zostatok nevyčerpanej dotácie k 31. 12. 2017 je totožný  s údajmi vykazovanými v tabuľke T8 výročnej správy za rok 2017.</t>
  </si>
  <si>
    <t>T9_R1 = štatistické výkazy MŠVVaŠ SR 2017 (2018)</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</si>
  <si>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2017, 2018.</t>
    </r>
  </si>
  <si>
    <t xml:space="preserve">T9_R6_SA (SB) = dotačná zmluva 2017 (2018) - účelové prostriedky na študentské domovy (vrátane dotácie na valorizáciu miezd ŠJ) </t>
  </si>
  <si>
    <t>T10_R7_SA (SB) = dotačná zmluva 2017 (2018)_účelová dotácia na študentské jedálne</t>
  </si>
  <si>
    <t>Údaje v R7_SA (SB) sú kontrolované na  dotačné zmluvy a na účelovú dotáciu na rok 2017, 2018.</t>
  </si>
  <si>
    <t>T10_R13 = štatistické výkazy MŠVVaŠ SR 2017 (2018)</t>
  </si>
  <si>
    <r>
      <t xml:space="preserve">Údaje v T11_R2 - tvorba fondu reprodukcie za roky 2017 a 2018 sa musia rovnať údajom v T13_R2_SC (SD). 
</t>
    </r>
    <r>
      <rPr>
        <strike/>
        <sz val="12"/>
        <rFont val="Times New Roman"/>
        <family val="1"/>
        <charset val="238"/>
      </rPr>
      <t/>
    </r>
  </si>
  <si>
    <r>
      <t>Stavy fondov k 1.1. a k 31.12.2018</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</si>
  <si>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2018 sa rovná odpisom ostatného DN a HM za rok 2016 (T5_R86_SC+SD)</t>
  </si>
  <si>
    <r>
      <t>Globálna hodnota na bankových účtoch z R18 sa kontroluje na Súvahu, časť Aktíva, r. 053.
Ak nie je údaj v R2 (dotačný účet) k 31. 12. 2018</t>
    </r>
    <r>
      <rPr>
        <sz val="12"/>
        <color indexed="10"/>
        <rFont val="Times New Roman"/>
        <family val="1"/>
        <charset val="238"/>
      </rPr>
      <t xml:space="preserve"> </t>
    </r>
    <r>
      <rPr>
        <b/>
        <u/>
        <sz val="12"/>
        <rFont val="Times New Roman"/>
        <family val="1"/>
        <charset val="238"/>
      </rPr>
      <t>vynulovaný,  je potrebné doplniť vysvetlenie v stĺpci C.</t>
    </r>
  </si>
  <si>
    <t xml:space="preserve">Údaje v T17 sú kontrolované na hodnoty z výkazníctva, finančné prostriedky z EÚ (vrátane spolufinancovania zo štátneho rozpočtu), zabezpečované prostredníctvom MŠVVaŠ SR v roku 2018. </t>
  </si>
  <si>
    <t>Údaje v T18_R1 sú kontrolované na  rozpis bežnej a kapitálovej dotácie na programe 06K v roku 2018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</si>
  <si>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 xml:space="preserve">T20_R2 = dotačná zmluva 2017 (2018)_účelová dotácia na motivačné štipendiá
</t>
  </si>
  <si>
    <t xml:space="preserve">T21_R1_SF  = výkazníctvo 2017 súvaha, časť pasíva, riadok 103, predchádzajúce účtovné obdobie
T21_R1_SL = výkazníctvo 2018, súvaha, časť pasíva, riadok 103, bežné účtovné obdobie </t>
  </si>
  <si>
    <t xml:space="preserve">Celková hodnota účtu 384 za rok 2017 a 2018,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(2017), resp. SI (2018). 
Údaje za rok 2017 musia byť totožné s údajmi, ktoré VVŠ predložili k výsledkom hospodárenia VVŠ za rok 2017.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</si>
  <si>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2017  rovná súčtu zvyšku prijatej kapitálovej dotácie na kompenzáciu odpisov z roku 2017 (stĺpec SA) a výšky kapitálovej dotácie (2018) z </t>
    </r>
    <r>
      <rPr>
        <sz val="12"/>
        <color indexed="8"/>
        <rFont val="Times New Roman"/>
        <family val="1"/>
        <charset val="238"/>
      </rPr>
      <t xml:space="preserve">T11_R10_SB, zníženému o odpisy, vykazované v T5_R85_SC. </t>
    </r>
  </si>
  <si>
    <r>
      <t xml:space="preserve">T22_R58_SA=T4_R15_SA
T22_R57_SB= T4_R15_SB
</t>
    </r>
    <r>
      <rPr>
        <sz val="11"/>
        <rFont val="Times New Roman"/>
        <family val="1"/>
        <charset val="238"/>
      </rPr>
      <t>T22R_R64_SA_(SB)= T19_R1_SA_(SC)</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</si>
  <si>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2018</t>
    </r>
    <r>
      <rPr>
        <b/>
        <sz val="14"/>
        <color rgb="FFFF0000"/>
        <rFont val="Times New Roman"/>
        <family val="1"/>
        <charset val="238"/>
      </rPr>
      <t xml:space="preserve">  </t>
    </r>
    <r>
      <rPr>
        <b/>
        <sz val="14"/>
        <rFont val="Times New Roman"/>
        <family val="1"/>
      </rPr>
      <t xml:space="preserve">na programe 077 </t>
    </r>
  </si>
  <si>
    <r>
      <t>Tabuľka č. 2: Príjmy verejnej vysokej školy v roku 2018</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</si>
  <si>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2017 a 2018</t>
  </si>
  <si>
    <t>Rozdiel 2018-2017</t>
  </si>
  <si>
    <r>
      <t>Tabuľka č. 4: Výnosy verejnej vysokej školy zo školného a z poplatkov spojených so štúdiom  
v rokoch 2017</t>
    </r>
    <r>
      <rPr>
        <b/>
        <sz val="14"/>
        <color rgb="FFFF0000"/>
        <rFont val="Times New Roman"/>
        <family val="1"/>
        <charset val="238"/>
      </rPr>
      <t xml:space="preserve"> </t>
    </r>
    <r>
      <rPr>
        <b/>
        <sz val="14"/>
        <rFont val="Times New Roman"/>
        <family val="1"/>
        <charset val="238"/>
      </rPr>
      <t>a 2018</t>
    </r>
    <r>
      <rPr>
        <b/>
        <sz val="14"/>
        <color rgb="FFFF0000"/>
        <rFont val="Times New Roman"/>
        <family val="1"/>
        <charset val="238"/>
      </rPr>
      <t xml:space="preserve"> </t>
    </r>
  </si>
  <si>
    <t>Tabuľka č. 5: Náklady verejnej vysokej školy v rokoch 2017 a 2018</t>
  </si>
  <si>
    <t>Tabuľka č. 6: Zamestnanci a náklady na mzdy verejnej vysokej školy v roku 2018</t>
  </si>
  <si>
    <t>Priemerný evidenčný prepočítaný počet zamestnancov za rok 2018</t>
  </si>
  <si>
    <t>Tabuľka č. 6a: Zamestnanci a náklady na mzdy verejnej vysokej školy v roku 2018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</si>
  <si>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2018</t>
    </r>
  </si>
  <si>
    <t>Tabuľka č. 8: Údaje o systéme sociálnej podpory - časť  sociálne štipendiá  (§ 96 zákona) 
za roky 2017 a 2018</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</si>
  <si>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2017 a 2018</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</si>
  <si>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2017 a 2018 </t>
    </r>
  </si>
  <si>
    <t>Tabuľka č. 12: Výdavky verejnej vysokej školy na obstaranie a technické zhodnotenie dlhodobého majetku v roku 2018</t>
  </si>
  <si>
    <t>Čerpanie kapitálovej dotácie v roku 2018
zo štátneho rozpočtu</t>
  </si>
  <si>
    <r>
      <t xml:space="preserve">Čerpanie kapitálovej dotácie v roku 2018
</t>
    </r>
    <r>
      <rPr>
        <b/>
        <sz val="11"/>
        <color indexed="8"/>
        <rFont val="Times New Roman"/>
        <family val="1"/>
      </rPr>
      <t>z prostriedkov EÚ (štrukturálnych fondov)</t>
    </r>
  </si>
  <si>
    <t xml:space="preserve">Čerpanie bežnej dotácie v roku 2018 prostredníctvom fondu reprodukcie </t>
  </si>
  <si>
    <t>Tabuľka č. 13: Stav a vývoj finančných fondov verejnej vysokej školy v rokoch 2017 a 2018</t>
  </si>
  <si>
    <t>Tabuľka č. 16: Štruktúra a stav finančných prostriedkov na bankových účtoch verejnej vysokej školy
   k 31. decembru 2018</t>
  </si>
  <si>
    <t>Stav účtu k 31.12.2018</t>
  </si>
  <si>
    <t>Tabuľka č. 17: Príjmy verejnej vysokej školy z prostriedkov EÚ a z prostriedkov na ich spolufinancovanie 
zo štátneho rozpočtu z kapitoly MŠVVaŠ SR a z iných kapitol štátneho rozpočtu v roku 2018</t>
  </si>
  <si>
    <r>
      <t>Tabuľka č. 18: Príjmy z dotácií verejnej vysokej škole zo štátneho rozpočtu z kapitoly MŠVVaŠ SR 
poskytnuté mimo programu 077 a mimo príjmov z prostriedkov EÚ (zo štrukturálnych fondov) v roku 2018</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</si>
  <si>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2017 a 2018 </t>
  </si>
  <si>
    <t xml:space="preserve">Tabuľka č. 20: Motivačné štipendiá  v rokoch 2017 a 2018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</si>
  <si>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2017 a 2018</t>
    </r>
    <r>
      <rPr>
        <b/>
        <sz val="14"/>
        <color rgb="FFFF0000"/>
        <rFont val="Times New Roman"/>
        <family val="1"/>
        <charset val="238"/>
      </rPr>
      <t xml:space="preserve"> </t>
    </r>
  </si>
  <si>
    <t>Stav k 31. 12. 2018</t>
  </si>
  <si>
    <t xml:space="preserve">Tabuľka č. 22: Výnosy verejnej vysokej školy v roku 2018 v oblasti sociálnej podpory študentov </t>
  </si>
  <si>
    <t>Výnosy
v hlavnej činnosti
2017</t>
  </si>
  <si>
    <r>
      <t>Výnosy
hlavnej činnosti
2018</t>
    </r>
    <r>
      <rPr>
        <sz val="12"/>
        <color indexed="10"/>
        <rFont val="Times New Roman"/>
        <family val="1"/>
        <charset val="238"/>
      </rPr>
      <t xml:space="preserve"> </t>
    </r>
  </si>
  <si>
    <t xml:space="preserve">Tabuľka č .23:  Náklady verejnej vysokej školy  v roku 2018 v oblasti sociálnej podpory študentov </t>
  </si>
  <si>
    <t>Náklady
hlavnej činnosti
2018</t>
  </si>
  <si>
    <r>
      <t>Rozdiel 2018-2017</t>
    </r>
    <r>
      <rPr>
        <sz val="12"/>
        <color indexed="10"/>
        <rFont val="Times New Roman"/>
        <family val="1"/>
        <charset val="238"/>
      </rPr>
      <t xml:space="preserve"> </t>
    </r>
  </si>
  <si>
    <r>
      <t>Zmeny tabuliek výročnej správy o hospodárení za rok 2018</t>
    </r>
    <r>
      <rPr>
        <b/>
        <sz val="14"/>
        <color indexed="10"/>
        <rFont val="Times New Roman"/>
        <family val="1"/>
        <charset val="238"/>
      </rPr>
      <t xml:space="preserve"> </t>
    </r>
    <r>
      <rPr>
        <b/>
        <sz val="14"/>
        <rFont val="Times New Roman"/>
        <family val="1"/>
        <charset val="238"/>
      </rPr>
      <t>v porovnaní s rokom 2017</t>
    </r>
  </si>
  <si>
    <t xml:space="preserve">príjmy verejnej vysokej školy  v roku 2018 majúce charakter dotácie </t>
  </si>
  <si>
    <r>
      <t>výnosy verejnej vysokej školy v roku 2018</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</si>
  <si>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2018</t>
    </r>
    <r>
      <rPr>
        <sz val="12"/>
        <color rgb="FFFF0000"/>
        <rFont val="Times New Roman"/>
        <family val="1"/>
        <charset val="238"/>
      </rPr>
      <t xml:space="preserve"> </t>
    </r>
    <r>
      <rPr>
        <sz val="12"/>
        <rFont val="Times New Roman"/>
        <family val="1"/>
        <charset val="238"/>
      </rPr>
      <t>v oblasti sociálnej podpory študentov</t>
    </r>
  </si>
  <si>
    <t>V prípade, že ešte niektorá VVŠ vypláca doktorandské štipendiá pozadu (ako "mzdy zamestancom"), výška nákladov vykazovaná k 31.12.2018 zohľadňuje aj úhradu štipendií doktorandov, vyplatených v januári  2019 za december 2018</t>
  </si>
  <si>
    <r>
      <t xml:space="preserve"> - cudzinci podľa prechodných ustanovení </t>
    </r>
    <r>
      <rPr>
        <vertAlign val="superscript"/>
        <sz val="12"/>
        <rFont val="Times New Roman"/>
        <family val="1"/>
      </rPr>
      <t>1)</t>
    </r>
  </si>
  <si>
    <t xml:space="preserve">1) V R50-54 sa uvedú výnosy účtované v súvislosti s použitím  príslušného fondu.  </t>
  </si>
  <si>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2018  rovná súčtu zvyšku prijatej kapitálovej dotácie na kompenzáciu odpisov z roku 2017</t>
    </r>
    <r>
      <rPr>
        <sz val="12"/>
        <color indexed="10"/>
        <rFont val="Times New Roman"/>
        <family val="1"/>
        <charset val="238"/>
      </rPr>
      <t xml:space="preserve"> </t>
    </r>
    <r>
      <rPr>
        <sz val="12"/>
        <rFont val="Times New Roman"/>
        <family val="1"/>
        <charset val="238"/>
      </rPr>
      <t xml:space="preserve">(stĺpec SB) a výšky kapitálovej dotácie (2018) z </t>
    </r>
    <r>
      <rPr>
        <sz val="12"/>
        <color indexed="8"/>
        <rFont val="Times New Roman"/>
        <family val="1"/>
        <charset val="238"/>
      </rPr>
      <t xml:space="preserve">T11_R10a_SB, zníženému o odpisy, vykazované v T5_R86a_SC. </t>
    </r>
  </si>
  <si>
    <r>
      <t xml:space="preserve">  - poskytované mesačne </t>
    </r>
    <r>
      <rPr>
        <vertAlign val="superscript"/>
        <sz val="12"/>
        <color rgb="FFFF0000"/>
        <rFont val="Times New Roman"/>
        <family val="1"/>
        <charset val="238"/>
      </rPr>
      <t>1)</t>
    </r>
  </si>
  <si>
    <t>Súvzťažnostimedzi tabuľkami výročnej správy o hospodárení verejnej vysokej školy za rok 2018</t>
  </si>
  <si>
    <t>- iné nezaradené</t>
  </si>
  <si>
    <t>z iných zdrojov
 kód 13</t>
  </si>
  <si>
    <t>Náklady na štipendiá interných doktorandov spolu</t>
  </si>
  <si>
    <t>Počet osobomesiacov interných doktorandov spolu za 2018</t>
  </si>
  <si>
    <t xml:space="preserve">Kategória zamestnancov - žien
</t>
  </si>
  <si>
    <t>kvartil q2 50%
medián *)</t>
  </si>
  <si>
    <r>
      <t>Príjmy z dotácií verejnej vysokej škole zo štátneho rozpočtu z kapitoly MŠVVaŠ SR poskytnuté mimo programu 077 a mimo príjmov z prostriedkov EÚ (zo štrukturálnych fondov) v roku 2018</t>
    </r>
    <r>
      <rPr>
        <sz val="12"/>
        <color rgb="FF00B050"/>
        <rFont val="Times New Roman"/>
        <family val="1"/>
        <charset val="238"/>
      </rPr>
      <t xml:space="preserve"> </t>
    </r>
  </si>
  <si>
    <r>
      <t>V stĺpcoch A, B, C uvedie vysoká škola priemerný evidenčný prepočítaný počet zamestnancov za rok 2018</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</si>
  <si>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2018</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</si>
  <si>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2018</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</si>
  <si>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</si>
  <si>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</si>
  <si>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2018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2018. </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</si>
  <si>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2017 a údaje z roku 2018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2018 -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</si>
  <si>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t xml:space="preserve">Tabuľka č. 7: Náklady verejnej vysokej školy na štipendiá interných doktorandov v roku 2018 </t>
  </si>
  <si>
    <t>Údaje v R1_SC za rok 2018 sú kontrolované na T5_R77_SC + SD</t>
  </si>
  <si>
    <r>
      <t>T6_R1..R6, R7, R9, R13, R14, R16, R17 = Škol 2-04 za 2018</t>
    </r>
    <r>
      <rPr>
        <sz val="12"/>
        <color indexed="10"/>
        <rFont val="Times New Roman"/>
        <family val="1"/>
        <charset val="238"/>
      </rPr>
      <t xml:space="preserve">, </t>
    </r>
    <r>
      <rPr>
        <sz val="12"/>
        <rFont val="Times New Roman"/>
        <family val="1"/>
        <charset val="238"/>
      </rPr>
      <t xml:space="preserve">
T6_R15a.. = dotačná zmluva na 2018, špecifiká</t>
    </r>
  </si>
  <si>
    <t>Tabuľka č. 11: Zdroje verejnej vysokej školy na obstaranie a technické zhodnotenie dlhodobého  majetku v rokoch 2017 a 2018</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</si>
  <si>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</si>
  <si>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</si>
  <si>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</si>
  <si>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</si>
  <si>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</si>
  <si>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v riadku 4 vložený účet 648 010
v riadku 5 vložený účet 648 011</t>
  </si>
  <si>
    <t>v riadku 42 vložený účet 518 054</t>
  </si>
  <si>
    <t>vložené riadky 17, 18, 19
zmenené vzorce v riadku 1</t>
  </si>
  <si>
    <r>
      <t>T3_R20_SA (SC) = T4_R1_SA (SB),
T3_R2</t>
    </r>
    <r>
      <rPr>
        <sz val="12"/>
        <color rgb="FFFF0000"/>
        <rFont val="Times New Roman"/>
        <family val="1"/>
        <charset val="238"/>
      </rPr>
      <t>6</t>
    </r>
    <r>
      <rPr>
        <sz val="12"/>
        <color theme="1"/>
        <rFont val="Times New Roman"/>
        <family val="1"/>
        <charset val="238"/>
      </rPr>
      <t>_SA (SC) = T4_R7_SA (SB)</t>
    </r>
  </si>
  <si>
    <r>
      <t xml:space="preserve">Výnosy sú kontrolované na údaje z výkazníctva - výkaz ziskov a strát, časť </t>
    </r>
    <r>
      <rPr>
        <b/>
        <sz val="12"/>
        <rFont val="Times New Roman"/>
        <family val="1"/>
        <charset val="238"/>
      </rPr>
      <t>výnosy</t>
    </r>
    <r>
      <rPr>
        <sz val="12"/>
        <rFont val="Times New Roman"/>
        <family val="1"/>
        <charset val="238"/>
      </rPr>
      <t xml:space="preserve">. 
Údaje v T3 z roku 2018  a údaje z roku 2018 sa uvádzajú v eurách s presnosťou na dve desatinné miestá ( </t>
    </r>
    <r>
      <rPr>
        <i/>
        <sz val="12"/>
        <rFont val="Times New Roman"/>
        <family val="1"/>
        <charset val="238"/>
      </rPr>
      <t>pričom zobrazenie tabuliek je nastavené na Eur)</t>
    </r>
    <r>
      <rPr>
        <sz val="12"/>
        <rFont val="Times New Roman"/>
        <family val="1"/>
        <charset val="238"/>
      </rPr>
      <t>. 
Výnosy zo školného, resp. z poplatkov  spojených so štúdiom za hlavnú činnosť v T3_R20, R2</t>
    </r>
    <r>
      <rPr>
        <sz val="12"/>
        <color rgb="FFFF0000"/>
        <rFont val="Times New Roman"/>
        <family val="1"/>
        <charset val="238"/>
      </rPr>
      <t>6</t>
    </r>
    <r>
      <rPr>
        <sz val="12"/>
        <rFont val="Times New Roman"/>
        <family val="1"/>
        <charset val="238"/>
      </rPr>
      <t xml:space="preserve"> sa taktiež kontrolujú na T4_R1_SB a T4_R7_SB.</t>
    </r>
  </si>
  <si>
    <r>
      <t>T4_R1_SA(SB) = T3_R20_SA(SC),
T4_R7_SA(SB) = T3_R2</t>
    </r>
    <r>
      <rPr>
        <sz val="12"/>
        <color rgb="FFFF0000"/>
        <rFont val="Times New Roman"/>
        <family val="1"/>
        <charset val="238"/>
      </rPr>
      <t>6</t>
    </r>
    <r>
      <rPr>
        <sz val="12"/>
        <rFont val="Times New Roman"/>
        <family val="1"/>
        <charset val="238"/>
      </rPr>
      <t>_SA(SC) 
T4_R15_SA(SB) = T13_R9_SE(SF)
T4_R15_SA = T22_R58_SA
T4_R15_SB = T22_R57_SB</t>
    </r>
  </si>
  <si>
    <r>
      <t>Údaje v T4 sú kontrolované na údaje z T3, a to na výnosy z hlavnej činnosti - školné (T3_R20), poplatky spojené so štúdiom (T3_R2</t>
    </r>
    <r>
      <rPr>
        <sz val="12"/>
        <color rgb="FFFF0000"/>
        <rFont val="Times New Roman"/>
        <family val="1"/>
        <charset val="238"/>
      </rPr>
      <t>6</t>
    </r>
    <r>
      <rPr>
        <sz val="12"/>
        <color theme="1"/>
        <rFont val="Times New Roman"/>
        <family val="1"/>
        <charset val="238"/>
      </rPr>
      <t>). 
Údaj  v R15 - návrh na prídel do štipendijného fondu musí byť minimálne vo výške vykazovanom na riadku R14 - základ pre prídel do štipendijného fondu.</t>
    </r>
  </si>
  <si>
    <t>vložený riadok 23
v riadku  24 vložený účet 648 011
v riadku 20, 26, 50, 65 upravený vzorec</t>
  </si>
  <si>
    <r>
      <t xml:space="preserve">Štipendiá z vlastných zdrojov vysokej školy (§ 97 zákona) spolu </t>
    </r>
    <r>
      <rPr>
        <sz val="12"/>
        <rFont val="Times New Roman"/>
        <family val="1"/>
        <charset val="238"/>
      </rPr>
      <t>[R2+R5+R8+R11+R14</t>
    </r>
    <r>
      <rPr>
        <sz val="12"/>
        <color rgb="FFFF0000"/>
        <rFont val="Times New Roman"/>
        <family val="1"/>
        <charset val="238"/>
      </rPr>
      <t>+R17</t>
    </r>
    <r>
      <rPr>
        <sz val="12"/>
        <rFont val="Times New Roman"/>
        <family val="1"/>
        <charset val="238"/>
      </rPr>
      <t xml:space="preserve">] </t>
    </r>
  </si>
  <si>
    <t>zmena</t>
  </si>
  <si>
    <t>v hlavičkách, vo vysvetlivkách a v súvsťažnostiach boli zmenené (aktualizované) roky a upravené vzťahy v T3_V1, T4_V1</t>
  </si>
  <si>
    <r>
      <t>T12_R1</t>
    </r>
    <r>
      <rPr>
        <sz val="12"/>
        <color rgb="FFFF0000"/>
        <rFont val="Times New Roman"/>
        <family val="1"/>
        <charset val="238"/>
      </rPr>
      <t>7</t>
    </r>
    <r>
      <rPr>
        <sz val="12"/>
        <rFont val="Times New Roman"/>
        <family val="1"/>
        <charset val="238"/>
      </rPr>
      <t>_SG = výkazníctvo 2018, kategória 700, všetky zdroje</t>
    </r>
  </si>
  <si>
    <r>
      <t>Údaje v R1</t>
    </r>
    <r>
      <rPr>
        <sz val="12"/>
        <color rgb="FFFF0000"/>
        <rFont val="Times New Roman"/>
        <family val="1"/>
        <charset val="238"/>
      </rPr>
      <t>7</t>
    </r>
    <r>
      <rPr>
        <sz val="12"/>
        <color theme="1"/>
        <rFont val="Times New Roman"/>
        <family val="1"/>
        <charset val="238"/>
      </rPr>
      <t xml:space="preserve">,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</si>
  <si>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vložený riadok č. 10 (komunikačná infraštruktúra)
upravené vzorce v R4 a R 17</t>
  </si>
  <si>
    <t>Výnos z dotácie zo štátneho rozpočtu na študentské domovy (bez zmluvných zariadení)</t>
  </si>
  <si>
    <r>
      <t>Výnosy zo školného (účet 648) [SUM(R21:R2</t>
    </r>
    <r>
      <rPr>
        <b/>
        <sz val="12"/>
        <color rgb="FFFF0000"/>
        <rFont val="Times New Roman"/>
        <family val="1"/>
        <charset val="238"/>
      </rPr>
      <t>5)</t>
    </r>
    <r>
      <rPr>
        <b/>
        <sz val="12"/>
        <rFont val="Times New Roman"/>
        <family val="1"/>
        <charset val="238"/>
      </rPr>
      <t>]</t>
    </r>
  </si>
  <si>
    <t>- školné od cudzincov (§ 92 ods. 9 zákona) účet 648 002, 648 023</t>
  </si>
  <si>
    <r>
      <t>Výnosy z poplatkov spojených so štúdiom (účet 648) [SUM(R2</t>
    </r>
    <r>
      <rPr>
        <b/>
        <sz val="12"/>
        <color rgb="FFFF0000"/>
        <rFont val="Times New Roman"/>
        <family val="1"/>
        <charset val="238"/>
      </rPr>
      <t>7</t>
    </r>
    <r>
      <rPr>
        <b/>
        <sz val="12"/>
        <rFont val="Times New Roman"/>
        <family val="1"/>
        <charset val="238"/>
      </rPr>
      <t>:R3</t>
    </r>
    <r>
      <rPr>
        <b/>
        <sz val="12"/>
        <color rgb="FFFF0000"/>
        <rFont val="Times New Roman"/>
        <family val="1"/>
        <charset val="238"/>
      </rPr>
      <t>2</t>
    </r>
    <r>
      <rPr>
        <b/>
        <sz val="12"/>
        <rFont val="Times New Roman"/>
        <family val="1"/>
        <charset val="238"/>
      </rPr>
      <t xml:space="preserve">] </t>
    </r>
  </si>
  <si>
    <r>
      <t>Iné ostatné výnosy (účet 646, 649)</t>
    </r>
    <r>
      <rPr>
        <sz val="14"/>
        <rFont val="Times New Roman"/>
        <family val="1"/>
        <charset val="238"/>
      </rPr>
      <t xml:space="preserve"> [SUM(R34:R43)]</t>
    </r>
  </si>
  <si>
    <r>
      <t xml:space="preserve">Výnosy z použitia fondov (účet 656) [SUM(R50:R54)]  </t>
    </r>
    <r>
      <rPr>
        <b/>
        <vertAlign val="superscript"/>
        <sz val="12"/>
        <color theme="1"/>
        <rFont val="Times New Roman"/>
        <family val="1"/>
      </rPr>
      <t xml:space="preserve"> 1)</t>
    </r>
  </si>
  <si>
    <r>
      <t>- fondu reprodukcie (účet 656 400)</t>
    </r>
    <r>
      <rPr>
        <vertAlign val="superscript"/>
        <sz val="12"/>
        <color indexed="8"/>
        <rFont val="Times New Roman"/>
        <family val="1"/>
      </rPr>
      <t xml:space="preserve"> 2)</t>
    </r>
  </si>
  <si>
    <r>
      <t xml:space="preserve">Spolu </t>
    </r>
    <r>
      <rPr>
        <sz val="11"/>
        <rFont val="Times New Roman"/>
        <family val="1"/>
        <charset val="238"/>
      </rPr>
      <t>[R1+R6+SUM(R11:R16)+R19+R20+R26+</t>
    </r>
    <r>
      <rPr>
        <sz val="11"/>
        <color rgb="FFFF0000"/>
        <rFont val="Times New Roman"/>
        <family val="1"/>
        <charset val="238"/>
      </rPr>
      <t>R33</t>
    </r>
    <r>
      <rPr>
        <sz val="11"/>
        <rFont val="Times New Roman"/>
        <family val="1"/>
        <charset val="238"/>
      </rPr>
      <t>+SUM(R44:R49)+SUM(R55:R61)]</t>
    </r>
  </si>
  <si>
    <t xml:space="preserve">Názov verejnej vysokej školy:     Slovenská technická univerzita v Bratislave
Názov fakulty:  </t>
  </si>
  <si>
    <r>
      <t>Výnosy z poplatkov spojených so štúdiom</t>
    </r>
    <r>
      <rPr>
        <sz val="12"/>
        <rFont val="Times New Roman"/>
        <family val="1"/>
      </rPr>
      <t xml:space="preserve"> [S</t>
    </r>
    <r>
      <rPr>
        <sz val="12"/>
        <color indexed="8"/>
        <rFont val="Times New Roman"/>
        <family val="1"/>
        <charset val="238"/>
      </rPr>
      <t>UM (R8:R13</t>
    </r>
    <r>
      <rPr>
        <sz val="12"/>
        <rFont val="Times New Roman"/>
        <family val="1"/>
      </rPr>
      <t>)]</t>
    </r>
  </si>
  <si>
    <t xml:space="preserve">Názov verejnej vysokej školy:   Slovenská technická univerzita v Bratislave
Názov fakulty:  </t>
  </si>
  <si>
    <r>
      <t>Spotreba materiálu (účet 501)</t>
    </r>
    <r>
      <rPr>
        <sz val="12"/>
        <color indexed="8"/>
        <rFont val="Times New Roman"/>
        <family val="1"/>
      </rPr>
      <t xml:space="preserve"> </t>
    </r>
    <r>
      <rPr>
        <sz val="12"/>
        <color rgb="FF0000FF"/>
        <rFont val="Times New Roman"/>
        <family val="1"/>
        <charset val="238"/>
      </rPr>
      <t>[SUM(R2:R13)]</t>
    </r>
  </si>
  <si>
    <r>
      <t>Spotreba energie (účet 502)</t>
    </r>
    <r>
      <rPr>
        <sz val="12"/>
        <color indexed="8"/>
        <rFont val="Times New Roman"/>
        <family val="1"/>
      </rPr>
      <t xml:space="preserve"> </t>
    </r>
    <r>
      <rPr>
        <sz val="12"/>
        <color rgb="FF0000FF"/>
        <rFont val="Times New Roman"/>
        <family val="1"/>
        <charset val="238"/>
      </rPr>
      <t>[SUM(R15:R20)]</t>
    </r>
  </si>
  <si>
    <r>
      <t>Predaný tovar (účet 504)</t>
    </r>
    <r>
      <rPr>
        <sz val="12"/>
        <color rgb="FF0000FF"/>
        <rFont val="Times New Roman"/>
        <family val="1"/>
        <charset val="238"/>
      </rPr>
      <t xml:space="preserve"> [SUM(R23:R26)]</t>
    </r>
  </si>
  <si>
    <r>
      <t>Opravy a udržiavanie (účet 511)</t>
    </r>
    <r>
      <rPr>
        <sz val="12"/>
        <color indexed="8"/>
        <rFont val="Times New Roman"/>
        <family val="1"/>
      </rPr>
      <t xml:space="preserve"> </t>
    </r>
    <r>
      <rPr>
        <sz val="12"/>
        <color rgb="FF0000FF"/>
        <rFont val="Times New Roman"/>
        <family val="1"/>
        <charset val="238"/>
      </rPr>
      <t>[SUM(R28:R34)]</t>
    </r>
  </si>
  <si>
    <r>
      <t>Cestovné (účet 512)</t>
    </r>
    <r>
      <rPr>
        <sz val="12"/>
        <color indexed="8"/>
        <rFont val="Times New Roman"/>
        <family val="1"/>
      </rPr>
      <t xml:space="preserve"> [</t>
    </r>
    <r>
      <rPr>
        <sz val="12"/>
        <color rgb="FF0000FF"/>
        <rFont val="Times New Roman"/>
        <family val="1"/>
        <charset val="238"/>
      </rPr>
      <t>SUM(R36:R37)]</t>
    </r>
  </si>
  <si>
    <r>
      <t>Ostatné služby (účet 518)</t>
    </r>
    <r>
      <rPr>
        <sz val="12"/>
        <color indexed="8"/>
        <rFont val="Times New Roman"/>
        <family val="1"/>
      </rPr>
      <t xml:space="preserve"> </t>
    </r>
    <r>
      <rPr>
        <sz val="12"/>
        <color rgb="FF0000FF"/>
        <rFont val="Times New Roman"/>
        <family val="1"/>
        <charset val="238"/>
      </rPr>
      <t xml:space="preserve">[SUM(R40:R54)]   </t>
    </r>
  </si>
  <si>
    <r>
      <t>Mzdové náklady (účet 521)</t>
    </r>
    <r>
      <rPr>
        <sz val="12"/>
        <color indexed="8"/>
        <rFont val="Times New Roman"/>
        <family val="1"/>
      </rPr>
      <t xml:space="preserve">  </t>
    </r>
    <r>
      <rPr>
        <sz val="12"/>
        <color rgb="FF0000FF"/>
        <rFont val="Times New Roman"/>
        <family val="1"/>
        <charset val="238"/>
      </rPr>
      <t>[SUM(R56:R57)]</t>
    </r>
  </si>
  <si>
    <r>
      <t xml:space="preserve"> - MZDY (účty 521 001-008, 521 012, 521 013, </t>
    </r>
    <r>
      <rPr>
        <sz val="12"/>
        <rFont val="Times New Roman"/>
        <family val="1"/>
        <charset val="238"/>
      </rPr>
      <t>581 003</t>
    </r>
    <r>
      <rPr>
        <sz val="12"/>
        <color theme="1"/>
        <rFont val="Times New Roman"/>
        <family val="1"/>
      </rPr>
      <t>)</t>
    </r>
  </si>
  <si>
    <r>
      <t xml:space="preserve"> - OON </t>
    </r>
    <r>
      <rPr>
        <sz val="12"/>
        <color rgb="FF0000FF"/>
        <rFont val="Times New Roman"/>
        <family val="1"/>
        <charset val="238"/>
      </rPr>
      <t>[SUM(R58:R60)]</t>
    </r>
  </si>
  <si>
    <r>
      <t xml:space="preserve">Zákonné sociálne náklady (účet 527) </t>
    </r>
    <r>
      <rPr>
        <sz val="12"/>
        <color rgb="FF0000FF"/>
        <rFont val="Times New Roman"/>
        <family val="1"/>
        <charset val="238"/>
      </rPr>
      <t>[SUM(R64:R69)]</t>
    </r>
  </si>
  <si>
    <r>
      <t>Ostatné náklady (účtová skupina 54)</t>
    </r>
    <r>
      <rPr>
        <sz val="12"/>
        <color indexed="8"/>
        <rFont val="Times New Roman"/>
        <family val="1"/>
      </rPr>
      <t xml:space="preserve"> </t>
    </r>
    <r>
      <rPr>
        <sz val="12"/>
        <color rgb="FF0000FF"/>
        <rFont val="Times New Roman"/>
        <family val="1"/>
        <charset val="238"/>
      </rPr>
      <t>[R75+ R76]</t>
    </r>
  </si>
  <si>
    <r>
      <t xml:space="preserve">Odpisy, predaný majetok a opravné položky (účtová skupina 55: 551 až 558) </t>
    </r>
    <r>
      <rPr>
        <sz val="12"/>
        <color rgb="FF0000FF"/>
        <rFont val="Times New Roman"/>
        <family val="1"/>
        <charset val="238"/>
      </rPr>
      <t>[SUM(R85:R92)]</t>
    </r>
  </si>
  <si>
    <r>
      <t xml:space="preserve">Spolu </t>
    </r>
    <r>
      <rPr>
        <sz val="12"/>
        <rFont val="Times New Roman"/>
        <family val="1"/>
      </rPr>
      <t>[R1+R14+R21+R22+R27+R35+R38+R39+R55+SUM (R61:R63) +SUM (R70:R74)+R84+R93+R94]</t>
    </r>
  </si>
  <si>
    <t>Názov verejnej vysokej školy:   Slovenská technická univerzita v Bratislave</t>
  </si>
  <si>
    <t xml:space="preserve"> - komunikačná infraštruktúra ( 713 006)</t>
  </si>
  <si>
    <t>714</t>
  </si>
  <si>
    <t>Výdavky na obstaranie a technické zhodnotenie dlhobého majetku spolu [R1+SUM(R3:R4)+SUM(R10:R14)]</t>
  </si>
  <si>
    <t>z toho PČ (jednou sumou z R15,SG)</t>
  </si>
  <si>
    <t>SvF:700240903/8180,                                                                                        SjF: 7000085616/8180,                                                                FEI:7000240866/8180,                                                            FCHPT:7000242298/8180,                                                             FA:7000240858/8180,                                                        MTF:7000241076/8180,                                                                FIIT:7000242271/8180,                                                                                     R-STU: 7000240727/8180,                                                                                    ŠDaJ: 7000241279/8180</t>
  </si>
  <si>
    <t>SvF:7000133227/8180                                                                                                     SjF: 7000133235/8180,                                                           FEI:7000133243/8180,                                                                                           FCHPT:7000133251/8180,                                                                       FA:7000133278/8180,                                                            MTF:70000133286/8180,                                                                                                    FIIT: 7000133294/8180,                                                                                                          R-STU: 7000133307/8180 ,                                                 ŠDaJ:7000133315/8180</t>
  </si>
  <si>
    <t>7000133219/8180</t>
  </si>
  <si>
    <t xml:space="preserve">SvF:7000084111/8180,                                                                               SjF: 7000085587/8180, 7000085595/8180, 7000255064/8180, 7000316832/8180, 7000341800/8180, 7000442345/8180, 7000547614/8180,                                                                FEI:7000085253/8180, 7000084998/8180,7000578445/8180,                           FCHPT: 7000081471/8180,                                              FA:7000081906/8180,                                                     MTF:7000081404/8180,                                                FIIT:7000085552/8180, 7000244074/8180,                                                           R-STU:   7000084007/8180, 7000489194, 7000367787/8180 , </t>
  </si>
  <si>
    <t>MTF:7000120063/8180                                                   ŠDaJ:7000078344/8180, 7000307338/8180, 7000525378/8180</t>
  </si>
  <si>
    <t>MTF:7000120055/8180,                                                   ŠDaJ:7000078352/8180</t>
  </si>
  <si>
    <t>SvF:7000084162/8180,                                                                                SjF:7000085579/8180;                                                            FEI:7000085026/8180                                                  ; FChPT:7000081498/8180;                                                  FA:7000081930/8180;                                          MTF:7000081412/8180;7000340365/8180,                              FIIT:7000085560/8180;                                                           ŠDaJ:7000076234/8180;                                                             Gabčíkovo:7000081631/8180;   RSTU:7000084090/8180,7000084015/8180, 7000337254/8180, 7000203416/8180, 7000248040/8180, 7000372973/8180</t>
  </si>
  <si>
    <t>SvF: 7000304372/8180,                                                                                                                                          FCHPT:7000153826/8180                                                                            FIIT:7000365861/8180                                                                                           R-STU: 7000227960/8180                                                                        ŠDaJ: 7000383197/8180</t>
  </si>
  <si>
    <t xml:space="preserve">SvF:7000231222/8180,                                                                 FEI:7000578445/8180,                                                               FCHPT:7000081471/8180,                                                           MTF:7000120063/8180,                                                                                                     R-STU:  7000261931/8180                                                                         ŠDaJ: 7000460818/8180,  </t>
  </si>
  <si>
    <t>1802455853/0200-hotovostný účet ŠP, platobná karta FIIT - 1802455853/0200</t>
  </si>
  <si>
    <t>tržba ŠDaJ 31.12.2018</t>
  </si>
  <si>
    <t>SvF: 7000468115</t>
  </si>
  <si>
    <t xml:space="preserve">SjF: 700085624, 7000339321, 700223839, 7000086601, 7000263144, 7000085667, 7000291233, 70085704, 7000355786, 7000358389, 7000416390, 7000430504, 7000431021, 7000460199, 7000497784                                     FEI:7000085093/8180, 7000208487/8180,7000593864/8180,  7000284607/8180, 7000085106/8180,  7000293474/8180,
7000085165/8180,  7000304567/8180, 7000085181/8180,  7000314757/8180, 7000085237/8180, 7000320444/8180,
7000085317/8180, 7000593864/8180, 7000085384/8180,  7000342635/8180, 7000085421/8180, 7000388633/8180, 7000085456/8180,  7000388641/8180, 7000593872/8180,
7000085499/8180,  7000402853/8180, 7000208487/8180,        7000433633/8180, 7000593880/8180, 7000595755/8180,
7000213825/8180,  7000436818/8180,   7000443292/8180, 7000220689/8180 , 7000445191/8180,
7000468588/8180,   
7000237042/8180,  7000569645/8180, 7000245341/8180, 7000250992/8180 ,                                                                                          FCHP: 7000081463/8180, 7000495981/8180,7000124099/8180, 7000337182/8180, 7000402343/8180, 7000248278/8180,7000502969/8180, 7000490718/8180, 7000258804/8180, 7000371831/8180, 7000081527/8180, 7000270950/8180, 7000197941/8180, 7000154335//1/0, 7000151935/8180, 7000264278/8180, 7000457942/8180, 7000462629/8180
MTF:7000081367/8180,                                                                           FIIT:7000115483/8180,                                                                  FA: 7000562419, 7000081949, 7000569222, 7000221323       R: 7000323813/8180, 7000600147/8180,7000084074/8180, 7000370775/8180, 7000323821/8180, 7000341499/8180, 7000456635/8180, 7000568650/8180                                                                                                                                     </t>
  </si>
  <si>
    <t>SvF:70000084138/8180,                                                                               SjF 7000085608/8180,                                                              FEI:7000084971/8180,                                     FCHPT:7000081500/8180,                                                                 FA:7000081914/8180,                                                MTF:700081375/8180,                                                                FIIT:7000085544/8180,                                                                                     R-STU+Gabč.: 7000083987/8180                        ŠDaJ:7000577522</t>
  </si>
  <si>
    <t>SVF: 7000084146/8180,7000084170/8180,7000084197/8180,     7000084357/8180,  7000246205/8180,7000249780/8180,7000268818/8180, 7000354409/8180, 7000355292/8180,7000363727/8180,7000394400/8180, 7000409887/8180, 7000442994/8180,7000456165/8180,7000490531/8180, 7000490558/8180, 7000449574/8180,7000502168/8180,7000523153/8180 7000552907/8180, 7000553416/8180, 7000553459/8180,7000556510/8180,7000572852/8180 SjF:70000439883/8180, 70000409289/8180, 7000437546/8180, 7000574057/8180 FEI:7000085018/8180, 7000324218/8180,                                             FCHPT7000081447/8180,   7000344569/8180, 7000451786/8180, 7000214676/8180, 7000377029/8180, 7000429191/8180, 7000453300/8180, 7000548289/8180, 7000277853/8180                                                                                                         FA: 7000324234/8180,7000545643/8180,70006009336/8180,                                                                           MTF:7000226247/8180, 7000246985/8180,7000488239/8180,                                                  FIIT:7000409879/8180,  7000575893/8180                                                                                                         R-STU:  7000301817/8180, 7000342598/8180, 7000365239/8180, 7000341499/8180, 7000407857/8180, 7000224612/8180 7000084074/8180, 7000248876/8180, 7000323813/8180, 7000370775/8180, 7000323821/8180, 7000559738/8180, 7000465635/8180, 7000538064/8180, 7000406870/8180, 7000227960/8180, 7000359306/8180, 7000360331/8180, 7000364076/8180, 7000447218/8180                                                                                                                      ŠDaJ: 7000417529/8180</t>
  </si>
  <si>
    <t>Príjmy z MK</t>
  </si>
  <si>
    <t>APVV projekty - spoluriešitelia</t>
  </si>
  <si>
    <t>Bratislavský samosprávny kraj - Reflexie architektúry</t>
  </si>
  <si>
    <t>Hlavné mesto SR Bratislava - ARS Bratislavensis</t>
  </si>
  <si>
    <t>Mesto Levoča - Výskumné aktivity Levoče</t>
  </si>
  <si>
    <t>Mesto Banská Štiavnica - Pamiatkové hodnoty mesta</t>
  </si>
  <si>
    <t>Od ostatných subjektov VS</t>
  </si>
  <si>
    <t>STIMULY Prvá zváračská, a.s</t>
  </si>
  <si>
    <t>3c</t>
  </si>
  <si>
    <t>3d</t>
  </si>
  <si>
    <t>3e</t>
  </si>
  <si>
    <t>3f</t>
  </si>
  <si>
    <t>Sponzorské a darovacie zmluvy</t>
  </si>
  <si>
    <t>Nórsky finančný mechanizmus</t>
  </si>
  <si>
    <t>UNIALL</t>
  </si>
  <si>
    <t>Projekty výskum a vývoj</t>
  </si>
  <si>
    <t>Projekty vzdelávania a soc.vecí</t>
  </si>
  <si>
    <t>Rámcové programy</t>
  </si>
  <si>
    <t>Rules Math</t>
  </si>
  <si>
    <t>Rfuture Mathematic</t>
  </si>
  <si>
    <t>Sokrates, Erasmus+ YounGo, TCA Erasmus+</t>
  </si>
  <si>
    <t>Tempo, Erasmus, SAMRS, Horizont</t>
  </si>
  <si>
    <t>Škoda AUTO</t>
  </si>
  <si>
    <t>Visegrad V4+</t>
  </si>
  <si>
    <t>projekt SCOPES</t>
  </si>
  <si>
    <t>Program EÚ územnej spolupráce</t>
  </si>
  <si>
    <t>4c</t>
  </si>
  <si>
    <t>4d</t>
  </si>
  <si>
    <t>4e</t>
  </si>
  <si>
    <t>4f</t>
  </si>
  <si>
    <t>4g</t>
  </si>
  <si>
    <t>4h</t>
  </si>
  <si>
    <t>4i</t>
  </si>
  <si>
    <t>4j</t>
  </si>
  <si>
    <t>4k</t>
  </si>
  <si>
    <t>4l</t>
  </si>
  <si>
    <t xml:space="preserve">Názov verejnej vysokej školy:   Slovenská technická univerzita v Bratislave
</t>
  </si>
  <si>
    <t xml:space="preserve">Názov verejnej vysokej školy:    Slovenská technická univerzita v Bratislave
</t>
  </si>
  <si>
    <t xml:space="preserve">Názov verejnej vysokej školy:  Slovenská technická univerzita v Bratislave
</t>
  </si>
  <si>
    <t xml:space="preserve">Názov verejnej vysokej školy: Slovenská technická univerzita v Bratislave
</t>
  </si>
  <si>
    <t>Názov verejnej vysokej školy:  Slovenská technická univerzita v Bratislave</t>
  </si>
  <si>
    <t xml:space="preserve">Názov verejnej vysokej školy:  Slovenská technická univerzita v Bratislave
Názov fakulty:  </t>
  </si>
  <si>
    <t xml:space="preserve">Názov verejnej vysokej školy:  Slovenská technická univerzita v Bratislave
  </t>
  </si>
  <si>
    <t xml:space="preserve">Názov verejnej vysokej školy:  Slovenská technická univerzita v Bratislave
 </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</si>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</sst>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S_k_-;\-* #,##0.00\ _S_k_-;_-* &quot;-&quot;??\ _S_k_-;_-@_-"/>
    <numFmt numFmtId="165" formatCode="#,##0_ ;[Red]\-#,##0\ "/>
    <numFmt numFmtId="166" formatCode="#,##0.00_ ;[Red]\-#,##0.00\ "/>
    <numFmt numFmtId="167" formatCode="_-* #,##0\ _S_k_-;\-* #,##0\ _S_k_-;_-* &quot;-&quot;??\ _S_k_-;_-@_-"/>
    <numFmt numFmtId="168" formatCode="#,##0.00_ ;\-#,##0.00\ "/>
    <numFmt numFmtId="169" formatCode="#,##0.0"/>
  </numFmts>
  <fonts count="122"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1"/>
      <color indexed="8"/>
      <name val="Times New Roman"/>
      <family val="1"/>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000000"/>
      <name val="Tahoma"/>
      <family val="2"/>
      <charset val="238"/>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4"/>
      <name val="Times New Roman"/>
      <family val="1"/>
      <charset val="238"/>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sz val="11"/>
      <color rgb="FFFF0000"/>
      <name val="Times New Roman"/>
      <family val="1"/>
      <charset val="238"/>
    </font>
    <font>
      <vertAlign val="superscript"/>
      <sz val="12"/>
      <color rgb="FFFF0000"/>
      <name val="Times New Roman"/>
      <family val="1"/>
      <charset val="238"/>
    </font>
    <font>
      <b/>
      <sz val="12"/>
      <color rgb="FF7030A0"/>
      <name val="Times New Roman"/>
      <family val="1"/>
      <charset val="238"/>
    </font>
    <font>
      <b/>
      <sz val="12"/>
      <color theme="9" tint="-0.249977111117893"/>
      <name val="Times New Roman"/>
      <family val="1"/>
      <charset val="238"/>
    </font>
    <font>
      <b/>
      <sz val="12"/>
      <color rgb="FFFF0000"/>
      <name val="Times New Roman"/>
      <family val="1"/>
    </font>
    <font>
      <b/>
      <vertAlign val="superscript"/>
      <sz val="12"/>
      <color theme="1"/>
      <name val="Times New Roman"/>
      <family val="1"/>
    </font>
    <font>
      <vertAlign val="superscript"/>
      <sz val="12"/>
      <color indexed="8"/>
      <name val="Times New Roman"/>
      <family val="1"/>
    </font>
    <font>
      <b/>
      <sz val="8"/>
      <color indexed="81"/>
      <name val="Tahoma"/>
      <family val="2"/>
      <charset val="238"/>
    </font>
    <font>
      <sz val="8"/>
      <color indexed="81"/>
      <name val="Tahoma"/>
      <family val="2"/>
      <charset val="238"/>
    </font>
    <font>
      <i/>
      <sz val="12"/>
      <color rgb="FF0000FF"/>
      <name val="Times New Roman"/>
      <family val="1"/>
      <charset val="238"/>
    </font>
    <font>
      <sz val="8"/>
      <name val="Times New Roman"/>
      <family val="1"/>
      <charset val="238"/>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CCFFCC"/>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94">
    <xf numFmtId="0" fontId="0" fillId="0" borderId="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164" fontId="1" fillId="0" borderId="0" applyFont="0" applyFill="0" applyBorder="0" applyAlignment="0" applyProtection="0"/>
    <xf numFmtId="164" fontId="18"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alignment vertical="top"/>
      <protection locked="0"/>
    </xf>
    <xf numFmtId="0" fontId="48" fillId="21" borderId="5" applyNumberFormat="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0" fontId="18" fillId="0" borderId="0"/>
    <xf numFmtId="0" fontId="82" fillId="0" borderId="0"/>
    <xf numFmtId="0" fontId="18" fillId="0" borderId="0"/>
    <xf numFmtId="0" fontId="18" fillId="0" borderId="0"/>
    <xf numFmtId="0" fontId="61" fillId="0" borderId="0"/>
    <xf numFmtId="0" fontId="22" fillId="0" borderId="0"/>
    <xf numFmtId="0" fontId="52" fillId="0" borderId="0"/>
    <xf numFmtId="0" fontId="42" fillId="23" borderId="7" applyNumberFormat="0" applyFont="0" applyAlignment="0" applyProtection="0"/>
    <xf numFmtId="0" fontId="53" fillId="20" borderId="8" applyNumberFormat="0" applyAlignment="0" applyProtection="0"/>
    <xf numFmtId="4" fontId="13" fillId="22" borderId="9" applyNumberFormat="0" applyProtection="0">
      <alignment vertical="center"/>
    </xf>
    <xf numFmtId="4" fontId="14" fillId="24" borderId="9" applyNumberFormat="0" applyProtection="0">
      <alignment vertical="center"/>
    </xf>
    <xf numFmtId="4" fontId="13" fillId="24" borderId="9" applyNumberFormat="0" applyProtection="0">
      <alignment horizontal="left" vertical="center" indent="1"/>
    </xf>
    <xf numFmtId="0" fontId="13" fillId="24" borderId="9" applyNumberFormat="0" applyProtection="0">
      <alignment horizontal="left" vertical="top" indent="1"/>
    </xf>
    <xf numFmtId="4" fontId="15" fillId="3" borderId="9" applyNumberFormat="0" applyProtection="0">
      <alignment horizontal="right" vertical="center"/>
    </xf>
    <xf numFmtId="4" fontId="15" fillId="9" borderId="9" applyNumberFormat="0" applyProtection="0">
      <alignment horizontal="right" vertical="center"/>
    </xf>
    <xf numFmtId="4" fontId="15" fillId="17" borderId="9" applyNumberFormat="0" applyProtection="0">
      <alignment horizontal="right" vertical="center"/>
    </xf>
    <xf numFmtId="4" fontId="15" fillId="11" borderId="9" applyNumberFormat="0" applyProtection="0">
      <alignment horizontal="right" vertical="center"/>
    </xf>
    <xf numFmtId="4" fontId="15" fillId="15" borderId="9" applyNumberFormat="0" applyProtection="0">
      <alignment horizontal="right" vertical="center"/>
    </xf>
    <xf numFmtId="4" fontId="15" fillId="19" borderId="9" applyNumberFormat="0" applyProtection="0">
      <alignment horizontal="right" vertical="center"/>
    </xf>
    <xf numFmtId="4" fontId="15" fillId="18" borderId="9" applyNumberFormat="0" applyProtection="0">
      <alignment horizontal="right" vertical="center"/>
    </xf>
    <xf numFmtId="4" fontId="15" fillId="25" borderId="9" applyNumberFormat="0" applyProtection="0">
      <alignment horizontal="right" vertical="center"/>
    </xf>
    <xf numFmtId="4" fontId="15" fillId="10" borderId="9" applyNumberFormat="0" applyProtection="0">
      <alignment horizontal="right" vertical="center"/>
    </xf>
    <xf numFmtId="4" fontId="13" fillId="26" borderId="10" applyNumberFormat="0" applyProtection="0">
      <alignment horizontal="left" vertical="center" indent="1"/>
    </xf>
    <xf numFmtId="4" fontId="15" fillId="27" borderId="0" applyNumberFormat="0" applyProtection="0">
      <alignment horizontal="left" vertical="center" indent="1"/>
    </xf>
    <xf numFmtId="4" fontId="16" fillId="28" borderId="0" applyNumberFormat="0" applyProtection="0">
      <alignment horizontal="left" vertical="center" indent="1"/>
    </xf>
    <xf numFmtId="4" fontId="15" fillId="29" borderId="9" applyNumberFormat="0" applyProtection="0">
      <alignment horizontal="right" vertical="center"/>
    </xf>
    <xf numFmtId="4" fontId="17" fillId="27" borderId="0" applyNumberFormat="0" applyProtection="0">
      <alignment horizontal="left" vertical="center" indent="1"/>
    </xf>
    <xf numFmtId="4" fontId="17" fillId="30" borderId="0" applyNumberFormat="0" applyProtection="0">
      <alignment horizontal="left" vertical="center" indent="1"/>
    </xf>
    <xf numFmtId="0" fontId="18" fillId="28" borderId="9" applyNumberFormat="0" applyProtection="0">
      <alignment horizontal="left" vertical="center" indent="1"/>
    </xf>
    <xf numFmtId="0" fontId="18" fillId="28" borderId="9" applyNumberFormat="0" applyProtection="0">
      <alignment horizontal="left" vertical="top" indent="1"/>
    </xf>
    <xf numFmtId="0" fontId="18" fillId="30" borderId="9" applyNumberFormat="0" applyProtection="0">
      <alignment horizontal="left" vertical="center" indent="1"/>
    </xf>
    <xf numFmtId="0" fontId="18" fillId="30" borderId="9" applyNumberFormat="0" applyProtection="0">
      <alignment horizontal="left" vertical="top" indent="1"/>
    </xf>
    <xf numFmtId="0" fontId="18" fillId="31" borderId="9" applyNumberFormat="0" applyProtection="0">
      <alignment horizontal="left" vertical="center" indent="1"/>
    </xf>
    <xf numFmtId="0" fontId="18" fillId="31" borderId="9" applyNumberFormat="0" applyProtection="0">
      <alignment horizontal="left" vertical="top" indent="1"/>
    </xf>
    <xf numFmtId="0" fontId="18" fillId="32" borderId="9" applyNumberFormat="0" applyProtection="0">
      <alignment horizontal="left" vertical="center" indent="1"/>
    </xf>
    <xf numFmtId="0" fontId="18" fillId="32" borderId="9" applyNumberFormat="0" applyProtection="0">
      <alignment horizontal="left" vertical="top" indent="1"/>
    </xf>
    <xf numFmtId="4" fontId="13" fillId="30" borderId="0" applyNumberFormat="0" applyProtection="0">
      <alignment horizontal="left" vertical="center" indent="1"/>
    </xf>
    <xf numFmtId="4" fontId="15" fillId="33" borderId="9" applyNumberFormat="0" applyProtection="0">
      <alignment vertical="center"/>
    </xf>
    <xf numFmtId="4" fontId="19" fillId="33" borderId="9" applyNumberFormat="0" applyProtection="0">
      <alignment vertical="center"/>
    </xf>
    <xf numFmtId="4" fontId="15" fillId="33" borderId="9" applyNumberFormat="0" applyProtection="0">
      <alignment horizontal="left" vertical="center" indent="1"/>
    </xf>
    <xf numFmtId="0" fontId="15" fillId="33" borderId="9" applyNumberFormat="0" applyProtection="0">
      <alignment horizontal="left" vertical="top" indent="1"/>
    </xf>
    <xf numFmtId="4" fontId="15" fillId="27" borderId="9" applyNumberFormat="0" applyProtection="0">
      <alignment horizontal="right" vertical="center"/>
    </xf>
    <xf numFmtId="4" fontId="19" fillId="27" borderId="9" applyNumberFormat="0" applyProtection="0">
      <alignment horizontal="right" vertical="center"/>
    </xf>
    <xf numFmtId="4" fontId="15" fillId="29" borderId="9" applyNumberFormat="0" applyProtection="0">
      <alignment horizontal="left" vertical="center" indent="1"/>
    </xf>
    <xf numFmtId="0" fontId="15" fillId="30" borderId="9" applyNumberFormat="0" applyProtection="0">
      <alignment horizontal="left" vertical="top" indent="1"/>
    </xf>
    <xf numFmtId="4" fontId="20" fillId="34" borderId="0" applyNumberFormat="0" applyProtection="0">
      <alignment horizontal="left" vertical="center" indent="1"/>
    </xf>
    <xf numFmtId="4" fontId="21" fillId="27" borderId="9" applyNumberFormat="0" applyProtection="0">
      <alignment horizontal="right" vertical="center"/>
    </xf>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0" fontId="1" fillId="0" borderId="0"/>
    <xf numFmtId="0" fontId="1" fillId="0" borderId="0"/>
    <xf numFmtId="164" fontId="1" fillId="0" borderId="0" applyFont="0" applyFill="0" applyBorder="0" applyAlignment="0" applyProtection="0"/>
    <xf numFmtId="0" fontId="24" fillId="0" borderId="0"/>
  </cellStyleXfs>
  <cellXfs count="937">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3" fillId="0" borderId="12" xfId="0" applyFont="1" applyBorder="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horizontal="center" vertical="center" wrapText="1"/>
    </xf>
    <xf numFmtId="0" fontId="8" fillId="0" borderId="0" xfId="0" applyFont="1" applyAlignment="1">
      <alignment horizontal="left"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49" fontId="7" fillId="0" borderId="13" xfId="0" applyNumberFormat="1" applyFont="1" applyBorder="1" applyAlignment="1">
      <alignment horizontal="lef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0" xfId="0" applyFont="1" applyAlignment="1">
      <alignment horizontal="left" vertical="center" wrapText="1" indent="1"/>
    </xf>
    <xf numFmtId="49" fontId="3" fillId="0" borderId="0" xfId="0" applyNumberFormat="1" applyFont="1" applyAlignment="1">
      <alignment vertical="center" wrapText="1"/>
    </xf>
    <xf numFmtId="3" fontId="7" fillId="0" borderId="0" xfId="45" applyNumberFormat="1" applyFont="1" applyBorder="1" applyAlignment="1">
      <alignment vertical="center" wrapText="1"/>
    </xf>
    <xf numFmtId="3" fontId="7" fillId="0" borderId="0" xfId="45" applyNumberFormat="1" applyFont="1" applyBorder="1" applyAlignment="1">
      <alignment horizontal="center" vertical="center" wrapText="1"/>
    </xf>
    <xf numFmtId="3" fontId="8" fillId="0" borderId="0" xfId="45"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24" borderId="18" xfId="0" applyFont="1" applyFill="1" applyBorder="1" applyAlignment="1">
      <alignment horizontal="right" vertical="center" wrapText="1" indent="1"/>
    </xf>
    <xf numFmtId="3" fontId="7" fillId="0" borderId="14"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indent="1"/>
    </xf>
    <xf numFmtId="0" fontId="7"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xf numFmtId="0" fontId="7" fillId="0" borderId="13" xfId="0" applyFont="1" applyBorder="1" applyAlignment="1">
      <alignment horizontal="left"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49"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3" xfId="45" applyFont="1" applyBorder="1" applyAlignment="1">
      <alignment horizontal="center" vertical="center" wrapText="1"/>
    </xf>
    <xf numFmtId="3" fontId="8" fillId="0" borderId="13" xfId="45" applyNumberFormat="1" applyFont="1" applyBorder="1" applyAlignment="1">
      <alignment horizontal="center" vertical="center" wrapText="1"/>
    </xf>
    <xf numFmtId="0" fontId="7" fillId="0" borderId="14" xfId="45" applyFont="1" applyBorder="1" applyAlignment="1">
      <alignment horizontal="center" vertical="center" wrapText="1"/>
    </xf>
    <xf numFmtId="3" fontId="8" fillId="0" borderId="15" xfId="45" applyNumberFormat="1" applyFont="1" applyBorder="1" applyAlignment="1">
      <alignment vertical="center" wrapText="1"/>
    </xf>
    <xf numFmtId="3" fontId="8" fillId="0" borderId="14" xfId="45" applyNumberFormat="1" applyFont="1" applyBorder="1" applyAlignment="1">
      <alignment horizontal="center" vertical="center" wrapText="1"/>
    </xf>
    <xf numFmtId="3" fontId="8" fillId="0" borderId="16" xfId="45"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8" fillId="0" borderId="13" xfId="0" applyFont="1" applyBorder="1" applyAlignment="1">
      <alignment horizontal="center" vertical="center" wrapText="1"/>
    </xf>
    <xf numFmtId="0" fontId="7" fillId="0" borderId="15" xfId="0" applyFont="1" applyBorder="1" applyAlignment="1">
      <alignment horizontal="left" vertical="center" wrapText="1" indent="1"/>
    </xf>
    <xf numFmtId="0" fontId="7" fillId="0" borderId="19" xfId="0" applyFont="1" applyBorder="1" applyAlignment="1">
      <alignment horizontal="left" vertical="center" wrapText="1" indent="1"/>
    </xf>
    <xf numFmtId="49" fontId="8" fillId="0" borderId="13" xfId="0" applyNumberFormat="1" applyFont="1" applyBorder="1" applyAlignment="1">
      <alignment horizontal="left" vertical="center" wrapText="1" indent="1"/>
    </xf>
    <xf numFmtId="0" fontId="8" fillId="0" borderId="0" xfId="0" applyFont="1" applyFill="1" applyAlignment="1">
      <alignment vertical="center" wrapTex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2" fillId="0" borderId="20" xfId="0" applyFont="1" applyBorder="1" applyAlignment="1">
      <alignment horizontal="center" vertical="center" wrapText="1"/>
    </xf>
    <xf numFmtId="49" fontId="3" fillId="0" borderId="19" xfId="0" applyNumberFormat="1" applyFont="1" applyBorder="1" applyAlignment="1">
      <alignment horizontal="left" vertical="center" wrapText="1" indent="1"/>
    </xf>
    <xf numFmtId="0" fontId="7" fillId="0" borderId="17" xfId="0" applyFont="1" applyFill="1" applyBorder="1" applyAlignment="1">
      <alignment horizontal="left" vertical="center" wrapText="1" indent="1"/>
    </xf>
    <xf numFmtId="0" fontId="3" fillId="0" borderId="0" xfId="0" applyFont="1" applyFill="1" applyAlignment="1">
      <alignment vertical="center" wrapText="1"/>
    </xf>
    <xf numFmtId="0" fontId="0" fillId="0" borderId="0" xfId="0" applyFill="1"/>
    <xf numFmtId="0" fontId="29" fillId="0" borderId="0" xfId="0" applyFont="1" applyFill="1" applyAlignment="1">
      <alignment vertical="center" wrapText="1"/>
    </xf>
    <xf numFmtId="0" fontId="2" fillId="0" borderId="22" xfId="0" applyFont="1" applyBorder="1" applyAlignment="1">
      <alignment vertical="center" wrapText="1"/>
    </xf>
    <xf numFmtId="0" fontId="8" fillId="35" borderId="14" xfId="0" applyFont="1" applyFill="1" applyBorder="1" applyAlignment="1">
      <alignment horizontal="left" vertical="center" wrapText="1" indent="1"/>
    </xf>
    <xf numFmtId="0" fontId="34" fillId="0" borderId="0" xfId="0" applyFont="1"/>
    <xf numFmtId="0" fontId="7" fillId="0" borderId="23" xfId="0" applyFont="1" applyFill="1" applyBorder="1" applyAlignment="1">
      <alignment horizontal="center" vertical="center" wrapText="1"/>
    </xf>
    <xf numFmtId="0" fontId="7" fillId="0" borderId="0" xfId="0" applyFont="1" applyFill="1" applyAlignment="1">
      <alignment vertical="center" wrapText="1"/>
    </xf>
    <xf numFmtId="49" fontId="8" fillId="0" borderId="13" xfId="0" applyNumberFormat="1" applyFont="1" applyFill="1" applyBorder="1" applyAlignment="1">
      <alignment horizontal="left" vertical="center" wrapText="1" indent="1"/>
    </xf>
    <xf numFmtId="0" fontId="0" fillId="0" borderId="0" xfId="0" applyAlignment="1">
      <alignment wrapText="1"/>
    </xf>
    <xf numFmtId="1" fontId="7" fillId="24" borderId="13" xfId="0" applyNumberFormat="1" applyFont="1" applyFill="1" applyBorder="1" applyAlignment="1">
      <alignment horizontal="right" vertical="center" wrapText="1" inden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49" fontId="3" fillId="0" borderId="0" xfId="0" applyNumberFormat="1" applyFont="1" applyAlignment="1">
      <alignment horizontal="left" wrapTex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4" fillId="0" borderId="0" xfId="0" applyFont="1" applyBorder="1" applyAlignment="1">
      <alignment vertical="center"/>
    </xf>
    <xf numFmtId="0" fontId="2" fillId="0" borderId="15" xfId="0" applyFont="1" applyFill="1" applyBorder="1" applyAlignment="1">
      <alignment horizontal="center" vertical="center" wrapText="1"/>
    </xf>
    <xf numFmtId="0" fontId="8" fillId="0" borderId="13" xfId="0" applyFont="1" applyBorder="1" applyAlignment="1">
      <alignment horizontal="left" vertical="top" wrapText="1" indent="1"/>
    </xf>
    <xf numFmtId="3" fontId="7" fillId="24" borderId="14" xfId="0" applyNumberFormat="1" applyFont="1" applyFill="1" applyBorder="1" applyAlignment="1">
      <alignment horizontal="right" vertical="center" wrapText="1" indent="1"/>
    </xf>
    <xf numFmtId="3" fontId="3" fillId="0"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3" fontId="8" fillId="24" borderId="13" xfId="0" applyNumberFormat="1" applyFont="1" applyFill="1" applyBorder="1" applyAlignment="1">
      <alignment horizontal="right" vertical="center" wrapText="1" indent="1"/>
    </xf>
    <xf numFmtId="3" fontId="8" fillId="24" borderId="14" xfId="0" applyNumberFormat="1" applyFont="1" applyFill="1" applyBorder="1" applyAlignment="1">
      <alignment horizontal="right" vertical="center" wrapText="1" indent="1"/>
    </xf>
    <xf numFmtId="3" fontId="8" fillId="35" borderId="14" xfId="0" applyNumberFormat="1" applyFont="1" applyFill="1" applyBorder="1" applyAlignment="1">
      <alignment horizontal="right" vertical="center" wrapText="1" indent="1"/>
    </xf>
    <xf numFmtId="167" fontId="3" fillId="35" borderId="13" xfId="27" applyNumberFormat="1" applyFont="1" applyFill="1" applyBorder="1" applyAlignment="1">
      <alignment horizontal="right" vertical="center" wrapText="1" indent="1"/>
    </xf>
    <xf numFmtId="167" fontId="3" fillId="37" borderId="13" xfId="27" applyNumberFormat="1" applyFont="1" applyFill="1" applyBorder="1" applyAlignment="1">
      <alignment horizontal="right" vertical="center" wrapText="1" indent="1"/>
    </xf>
    <xf numFmtId="3" fontId="7" fillId="37" borderId="13" xfId="0" applyNumberFormat="1" applyFont="1" applyFill="1" applyBorder="1" applyAlignment="1">
      <alignment horizontal="right" vertical="center" wrapText="1" indent="1"/>
    </xf>
    <xf numFmtId="3" fontId="7" fillId="24" borderId="20" xfId="0" applyNumberFormat="1" applyFont="1" applyFill="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7" fillId="0"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0" fontId="82" fillId="0" borderId="0" xfId="41"/>
    <xf numFmtId="0" fontId="9" fillId="0" borderId="13" xfId="0" applyFont="1" applyFill="1" applyBorder="1" applyAlignment="1">
      <alignment horizontal="left" vertical="center" wrapText="1" indent="1"/>
    </xf>
    <xf numFmtId="0" fontId="8" fillId="32" borderId="15" xfId="0" applyFont="1" applyFill="1" applyBorder="1" applyAlignment="1">
      <alignment vertical="center" wrapText="1"/>
    </xf>
    <xf numFmtId="0" fontId="8" fillId="0" borderId="0" xfId="44" applyFont="1" applyAlignment="1">
      <alignment vertical="center" wrapText="1"/>
    </xf>
    <xf numFmtId="0" fontId="7" fillId="0" borderId="0" xfId="44" applyFont="1" applyAlignment="1">
      <alignment horizontal="center" vertical="center" wrapText="1"/>
    </xf>
    <xf numFmtId="0" fontId="0" fillId="0" borderId="0" xfId="0" applyNumberFormat="1" applyAlignment="1">
      <alignment vertical="center" wrapText="1"/>
    </xf>
    <xf numFmtId="166" fontId="60" fillId="37" borderId="13" xfId="76" quotePrefix="1" applyNumberFormat="1" applyFont="1" applyFill="1" applyBorder="1" applyAlignment="1" applyProtection="1">
      <alignment horizontal="left" vertical="center" wrapText="1" indent="1"/>
      <protection locked="0"/>
    </xf>
    <xf numFmtId="166" fontId="59" fillId="37" borderId="13" xfId="84" quotePrefix="1" applyNumberFormat="1" applyFont="1" applyFill="1" applyBorder="1" applyAlignment="1" applyProtection="1">
      <alignment horizontal="left" vertical="center" wrapText="1" indent="1"/>
      <protection locked="0"/>
    </xf>
    <xf numFmtId="166" fontId="59" fillId="37" borderId="13" xfId="83" quotePrefix="1" applyNumberFormat="1" applyFont="1" applyFill="1" applyBorder="1" applyProtection="1">
      <alignment horizontal="left" vertical="center" indent="1"/>
      <protection locked="0"/>
    </xf>
    <xf numFmtId="0" fontId="8" fillId="0" borderId="13" xfId="0" applyFont="1" applyBorder="1"/>
    <xf numFmtId="166" fontId="60" fillId="37" borderId="13" xfId="51" quotePrefix="1" applyNumberFormat="1" applyFont="1" applyFill="1" applyBorder="1">
      <alignment horizontal="left" vertical="center" indent="1"/>
    </xf>
    <xf numFmtId="166" fontId="60" fillId="37" borderId="13" xfId="51" applyNumberFormat="1" applyFont="1" applyFill="1" applyBorder="1">
      <alignment horizontal="left" vertical="center" indent="1"/>
    </xf>
    <xf numFmtId="166" fontId="59" fillId="37" borderId="13" xfId="83" applyNumberFormat="1" applyFont="1" applyFill="1" applyBorder="1" applyAlignment="1" applyProtection="1">
      <alignment vertical="center"/>
      <protection locked="0"/>
    </xf>
    <xf numFmtId="166" fontId="60" fillId="37" borderId="13" xfId="83" quotePrefix="1" applyNumberFormat="1" applyFont="1" applyFill="1" applyBorder="1" applyProtection="1">
      <alignment horizontal="left" vertical="center" indent="1"/>
      <protection locked="0"/>
    </xf>
    <xf numFmtId="166" fontId="59" fillId="37" borderId="13" xfId="84" applyNumberFormat="1" applyFont="1" applyFill="1" applyBorder="1" applyAlignment="1" applyProtection="1">
      <alignment horizontal="left" vertical="center" wrapText="1" indent="1"/>
      <protection locked="0"/>
    </xf>
    <xf numFmtId="49" fontId="8" fillId="0" borderId="20" xfId="42" applyNumberFormat="1" applyFont="1" applyBorder="1" applyAlignment="1">
      <alignment horizontal="center"/>
    </xf>
    <xf numFmtId="49" fontId="8" fillId="0" borderId="35" xfId="42" applyNumberFormat="1" applyFont="1" applyBorder="1" applyAlignment="1">
      <alignment horizontal="center"/>
    </xf>
    <xf numFmtId="49" fontId="8" fillId="0" borderId="37" xfId="42" applyNumberFormat="1" applyFont="1" applyBorder="1" applyAlignment="1">
      <alignment horizontal="center"/>
    </xf>
    <xf numFmtId="0" fontId="8" fillId="0" borderId="29" xfId="42" applyFont="1" applyBorder="1"/>
    <xf numFmtId="0" fontId="8" fillId="0" borderId="13" xfId="42" applyFont="1" applyBorder="1"/>
    <xf numFmtId="0" fontId="8" fillId="0" borderId="19" xfId="42" applyFont="1" applyBorder="1"/>
    <xf numFmtId="0" fontId="7" fillId="0" borderId="42" xfId="0" applyFont="1" applyFill="1" applyBorder="1" applyAlignment="1">
      <alignment horizontal="center" vertical="center" wrapText="1"/>
    </xf>
    <xf numFmtId="0" fontId="7" fillId="35" borderId="43"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8" fillId="36" borderId="44" xfId="0" applyFont="1" applyFill="1" applyBorder="1" applyAlignment="1">
      <alignment horizontal="left" vertical="center" wrapText="1" indent="1"/>
    </xf>
    <xf numFmtId="0" fontId="8" fillId="0" borderId="45" xfId="0" applyFont="1" applyFill="1" applyBorder="1" applyAlignment="1">
      <alignment horizontal="left" vertical="center" wrapText="1" indent="1"/>
    </xf>
    <xf numFmtId="0" fontId="8" fillId="37"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0" fontId="24" fillId="0" borderId="29" xfId="42" applyFont="1" applyBorder="1"/>
    <xf numFmtId="49" fontId="24" fillId="0" borderId="37" xfId="42" applyNumberFormat="1" applyFont="1" applyBorder="1" applyAlignment="1">
      <alignment horizontal="center"/>
    </xf>
    <xf numFmtId="0" fontId="24" fillId="0" borderId="13" xfId="42" applyFont="1" applyBorder="1"/>
    <xf numFmtId="49" fontId="24" fillId="0" borderId="20" xfId="42" applyNumberFormat="1" applyFont="1" applyBorder="1" applyAlignment="1">
      <alignment horizontal="center"/>
    </xf>
    <xf numFmtId="0" fontId="24" fillId="0" borderId="13" xfId="42" applyFont="1" applyBorder="1" applyAlignment="1">
      <alignment vertical="center"/>
    </xf>
    <xf numFmtId="49" fontId="57" fillId="32" borderId="20" xfId="42" applyNumberFormat="1" applyFont="1" applyFill="1" applyBorder="1" applyAlignment="1">
      <alignment horizontal="center"/>
    </xf>
    <xf numFmtId="49" fontId="57" fillId="0" borderId="20" xfId="42" applyNumberFormat="1" applyFont="1" applyBorder="1" applyAlignment="1">
      <alignment horizontal="center"/>
    </xf>
    <xf numFmtId="0" fontId="24" fillId="0" borderId="22" xfId="42" applyFont="1" applyBorder="1" applyAlignment="1">
      <alignment horizontal="left" indent="1"/>
    </xf>
    <xf numFmtId="0" fontId="24" fillId="0" borderId="15" xfId="42" applyFont="1" applyBorder="1" applyAlignment="1">
      <alignment horizontal="left" indent="1"/>
    </xf>
    <xf numFmtId="0" fontId="24" fillId="0" borderId="15" xfId="42" applyFont="1" applyFill="1" applyBorder="1" applyAlignment="1">
      <alignment horizontal="left" indent="1"/>
    </xf>
    <xf numFmtId="0" fontId="8" fillId="0" borderId="0" xfId="0" applyFont="1" applyBorder="1"/>
    <xf numFmtId="0" fontId="12" fillId="0" borderId="35" xfId="0" applyFont="1" applyBorder="1" applyAlignment="1">
      <alignment horizontal="center"/>
    </xf>
    <xf numFmtId="0" fontId="37" fillId="0" borderId="48" xfId="35" applyFont="1" applyBorder="1" applyAlignment="1" applyProtection="1">
      <alignment horizontal="center"/>
    </xf>
    <xf numFmtId="0" fontId="8" fillId="0" borderId="50" xfId="0" applyFont="1" applyBorder="1"/>
    <xf numFmtId="166" fontId="3" fillId="0" borderId="0" xfId="0" applyNumberFormat="1" applyFont="1" applyBorder="1"/>
    <xf numFmtId="166" fontId="3" fillId="0" borderId="0" xfId="0" applyNumberFormat="1" applyFont="1" applyBorder="1" applyAlignment="1">
      <alignment wrapText="1"/>
    </xf>
    <xf numFmtId="0" fontId="29" fillId="0" borderId="0" xfId="0" applyFont="1" applyBorder="1" applyAlignment="1">
      <alignment horizontal="left"/>
    </xf>
    <xf numFmtId="0" fontId="29" fillId="0" borderId="0" xfId="0" applyFont="1" applyBorder="1" applyAlignment="1">
      <alignment horizontal="left" vertical="center"/>
    </xf>
    <xf numFmtId="0" fontId="84" fillId="0" borderId="0" xfId="0" applyFont="1" applyFill="1" applyAlignment="1">
      <alignment vertical="center" wrapText="1"/>
    </xf>
    <xf numFmtId="0" fontId="18" fillId="0" borderId="0" xfId="0" applyFont="1" applyAlignment="1"/>
    <xf numFmtId="0" fontId="85" fillId="0" borderId="43" xfId="0" applyFont="1" applyFill="1" applyBorder="1" applyAlignment="1">
      <alignment horizontal="left" vertical="center" wrapText="1" indent="1"/>
    </xf>
    <xf numFmtId="0" fontId="66" fillId="0" borderId="0" xfId="0" applyFont="1" applyFill="1" applyAlignment="1">
      <alignment horizontal="left" vertical="center" indent="1"/>
    </xf>
    <xf numFmtId="3" fontId="8" fillId="0" borderId="0" xfId="45" applyNumberFormat="1" applyFont="1" applyBorder="1" applyAlignment="1">
      <alignment horizontal="center" vertical="center" wrapText="1"/>
    </xf>
    <xf numFmtId="4" fontId="3" fillId="35" borderId="17" xfId="0" applyNumberFormat="1" applyFont="1" applyFill="1" applyBorder="1" applyAlignment="1">
      <alignment horizontal="right" vertical="center" wrapText="1" indent="1"/>
    </xf>
    <xf numFmtId="4" fontId="7" fillId="24" borderId="17" xfId="45" applyNumberFormat="1" applyFont="1" applyFill="1" applyBorder="1" applyAlignment="1">
      <alignment horizontal="right" vertical="center" wrapText="1" indent="1"/>
    </xf>
    <xf numFmtId="4" fontId="7" fillId="24" borderId="18" xfId="45" applyNumberFormat="1" applyFont="1" applyFill="1" applyBorder="1" applyAlignment="1">
      <alignment horizontal="right" vertical="center" wrapText="1" indent="1"/>
    </xf>
    <xf numFmtId="0" fontId="67" fillId="0" borderId="14" xfId="0" applyFont="1" applyFill="1" applyBorder="1" applyAlignment="1">
      <alignment horizontal="center" vertical="center" wrapText="1"/>
    </xf>
    <xf numFmtId="49" fontId="7" fillId="0" borderId="13" xfId="43" applyNumberFormat="1" applyFont="1" applyBorder="1" applyAlignment="1">
      <alignment horizontal="left" vertical="center" wrapText="1" indent="1"/>
    </xf>
    <xf numFmtId="3" fontId="7" fillId="24" borderId="13" xfId="43" applyNumberFormat="1" applyFont="1" applyFill="1" applyBorder="1" applyAlignment="1">
      <alignment horizontal="right" vertical="center" wrapText="1" indent="1"/>
    </xf>
    <xf numFmtId="3" fontId="3" fillId="35" borderId="13" xfId="43" applyNumberFormat="1" applyFont="1" applyFill="1" applyBorder="1" applyAlignment="1">
      <alignment horizontal="right" vertical="center" wrapText="1" indent="1"/>
    </xf>
    <xf numFmtId="0" fontId="3" fillId="0" borderId="19" xfId="43" applyFont="1" applyBorder="1" applyAlignment="1">
      <alignment horizontal="left" vertical="top" wrapText="1" indent="1"/>
    </xf>
    <xf numFmtId="0" fontId="9" fillId="0" borderId="0" xfId="0" applyFont="1" applyAlignment="1">
      <alignment horizontal="center" vertical="center"/>
    </xf>
    <xf numFmtId="0" fontId="9" fillId="0" borderId="0" xfId="0" applyFont="1" applyAlignment="1">
      <alignment horizontal="left" indent="1"/>
    </xf>
    <xf numFmtId="0" fontId="9" fillId="0" borderId="0" xfId="0" applyFont="1"/>
    <xf numFmtId="0" fontId="3" fillId="0" borderId="15" xfId="0" applyFont="1" applyFill="1" applyBorder="1" applyAlignment="1">
      <alignment horizontal="center" vertical="center"/>
    </xf>
    <xf numFmtId="0" fontId="24" fillId="0" borderId="43" xfId="0" applyFont="1" applyFill="1" applyBorder="1" applyAlignment="1">
      <alignment horizontal="left" vertical="center" wrapText="1" indent="1"/>
    </xf>
    <xf numFmtId="0" fontId="87" fillId="0" borderId="0" xfId="0" applyFont="1" applyAlignment="1">
      <alignment vertical="center"/>
    </xf>
    <xf numFmtId="0" fontId="37" fillId="0" borderId="20" xfId="35" applyFont="1" applyBorder="1" applyAlignment="1" applyProtection="1">
      <alignment horizontal="center"/>
    </xf>
    <xf numFmtId="0" fontId="37" fillId="0" borderId="37" xfId="35" applyFont="1" applyBorder="1" applyAlignment="1" applyProtection="1">
      <alignment horizontal="center"/>
    </xf>
    <xf numFmtId="0" fontId="8" fillId="0" borderId="52" xfId="0" applyFont="1" applyBorder="1"/>
    <xf numFmtId="0" fontId="85" fillId="37" borderId="43" xfId="0" applyFont="1" applyFill="1" applyBorder="1" applyAlignment="1">
      <alignment horizontal="left" vertical="center" wrapText="1" indent="1"/>
    </xf>
    <xf numFmtId="49" fontId="85" fillId="37" borderId="43" xfId="0" applyNumberFormat="1" applyFont="1" applyFill="1" applyBorder="1" applyAlignment="1">
      <alignment horizontal="lef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4" fillId="0" borderId="0" xfId="0" applyFont="1" applyFill="1" applyBorder="1" applyAlignment="1">
      <alignment vertical="center"/>
    </xf>
    <xf numFmtId="0" fontId="31" fillId="0" borderId="0" xfId="40" applyFont="1" applyAlignment="1">
      <alignment horizontal="center" vertical="center" wrapText="1"/>
    </xf>
    <xf numFmtId="0" fontId="3" fillId="0" borderId="0" xfId="40" applyFont="1"/>
    <xf numFmtId="0" fontId="3" fillId="0" borderId="0" xfId="40" applyFont="1" applyAlignment="1">
      <alignment horizontal="center"/>
    </xf>
    <xf numFmtId="0" fontId="2" fillId="0" borderId="15" xfId="4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40" applyFont="1" applyBorder="1" applyAlignment="1">
      <alignment horizontal="center" vertical="center" wrapText="1"/>
    </xf>
    <xf numFmtId="0" fontId="3" fillId="0" borderId="15" xfId="40" applyFont="1" applyBorder="1" applyAlignment="1">
      <alignment horizontal="center" wrapText="1"/>
    </xf>
    <xf numFmtId="49" fontId="2" fillId="0" borderId="13" xfId="40" applyNumberFormat="1" applyFont="1" applyBorder="1" applyAlignment="1">
      <alignment vertical="top" wrapText="1"/>
    </xf>
    <xf numFmtId="3" fontId="3" fillId="0" borderId="13" xfId="40" applyNumberFormat="1" applyFont="1" applyFill="1" applyBorder="1" applyAlignment="1">
      <alignment horizontal="center" wrapText="1"/>
    </xf>
    <xf numFmtId="0" fontId="3" fillId="0" borderId="15" xfId="40" applyFont="1" applyBorder="1" applyAlignment="1">
      <alignment horizontal="center" vertical="center" wrapText="1"/>
    </xf>
    <xf numFmtId="49" fontId="2" fillId="0" borderId="13" xfId="40" applyNumberFormat="1" applyFont="1" applyBorder="1" applyAlignment="1">
      <alignment horizontal="left" vertical="center" wrapText="1" indent="1"/>
    </xf>
    <xf numFmtId="49" fontId="3" fillId="0" borderId="13" xfId="40" applyNumberFormat="1" applyFont="1" applyBorder="1" applyAlignment="1">
      <alignment horizontal="left" vertical="center" wrapText="1" indent="1"/>
    </xf>
    <xf numFmtId="0" fontId="3" fillId="0" borderId="0" xfId="40" applyFont="1" applyFill="1"/>
    <xf numFmtId="49" fontId="8" fillId="36" borderId="13" xfId="40" applyNumberFormat="1" applyFont="1" applyFill="1" applyBorder="1" applyAlignment="1">
      <alignment horizontal="left" vertical="center" wrapText="1" indent="1"/>
    </xf>
    <xf numFmtId="49" fontId="2" fillId="0" borderId="17" xfId="40" applyNumberFormat="1" applyFont="1" applyBorder="1" applyAlignment="1">
      <alignment horizontal="left" vertical="center" wrapText="1" indent="1"/>
    </xf>
    <xf numFmtId="0" fontId="3" fillId="0" borderId="0" xfId="40" applyFont="1" applyFill="1" applyBorder="1" applyAlignment="1">
      <alignment horizontal="center" vertical="center" wrapText="1"/>
    </xf>
    <xf numFmtId="49" fontId="2" fillId="0" borderId="0" xfId="40" applyNumberFormat="1" applyFont="1" applyFill="1" applyBorder="1" applyAlignment="1">
      <alignment horizontal="left" vertical="top" wrapText="1" indent="1"/>
    </xf>
    <xf numFmtId="3" fontId="7" fillId="0" borderId="0" xfId="40" applyNumberFormat="1" applyFont="1" applyFill="1" applyBorder="1" applyAlignment="1">
      <alignment horizontal="right" vertical="center" wrapText="1" indent="1"/>
    </xf>
    <xf numFmtId="0" fontId="8" fillId="0" borderId="0" xfId="40" applyFont="1" applyAlignment="1">
      <alignment horizontal="center"/>
    </xf>
    <xf numFmtId="0" fontId="8" fillId="0" borderId="0" xfId="40" applyFont="1"/>
    <xf numFmtId="49" fontId="3" fillId="0" borderId="0" xfId="40" applyNumberFormat="1" applyFont="1"/>
    <xf numFmtId="0" fontId="3" fillId="0" borderId="20" xfId="0" applyFont="1" applyFill="1" applyBorder="1" applyAlignment="1">
      <alignment horizontal="center" vertical="center" wrapText="1"/>
    </xf>
    <xf numFmtId="0" fontId="88" fillId="0" borderId="0" xfId="0" applyFont="1"/>
    <xf numFmtId="0" fontId="8" fillId="0" borderId="21" xfId="35" applyFont="1" applyBorder="1" applyAlignment="1" applyProtection="1">
      <alignment horizontal="left" vertical="center" indent="1"/>
    </xf>
    <xf numFmtId="0" fontId="83" fillId="35" borderId="43" xfId="0" applyFont="1" applyFill="1" applyBorder="1" applyAlignment="1">
      <alignment horizontal="left" vertical="center" wrapText="1" indent="1"/>
    </xf>
    <xf numFmtId="3" fontId="3" fillId="0" borderId="14" xfId="0" applyNumberFormat="1" applyFont="1" applyFill="1" applyBorder="1" applyAlignment="1">
      <alignment horizontal="center" vertical="center" wrapText="1"/>
    </xf>
    <xf numFmtId="0" fontId="3" fillId="0" borderId="15" xfId="43" applyFont="1" applyBorder="1" applyAlignment="1">
      <alignment horizontal="center" vertical="center" wrapText="1"/>
    </xf>
    <xf numFmtId="3" fontId="7" fillId="24" borderId="14" xfId="43" applyNumberFormat="1" applyFont="1" applyFill="1" applyBorder="1" applyAlignment="1">
      <alignment horizontal="right" vertical="center" wrapText="1" indent="1"/>
    </xf>
    <xf numFmtId="0" fontId="3" fillId="0" borderId="16" xfId="43" applyFont="1" applyBorder="1" applyAlignment="1">
      <alignment horizontal="center" vertical="center" wrapText="1"/>
    </xf>
    <xf numFmtId="49" fontId="8" fillId="0" borderId="13" xfId="40" applyNumberFormat="1" applyFont="1" applyBorder="1" applyAlignment="1">
      <alignment horizontal="left" vertical="center" wrapText="1" indent="1"/>
    </xf>
    <xf numFmtId="49" fontId="3" fillId="0" borderId="13" xfId="40" applyNumberFormat="1" applyFont="1" applyFill="1" applyBorder="1" applyAlignment="1">
      <alignment horizontal="left" vertical="center" wrapText="1" indent="1"/>
    </xf>
    <xf numFmtId="0" fontId="85" fillId="0" borderId="16" xfId="41"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8" fillId="0" borderId="20" xfId="0" applyFont="1" applyBorder="1" applyAlignment="1">
      <alignment horizontal="left" vertical="center" wrapText="1" indent="1"/>
    </xf>
    <xf numFmtId="0" fontId="8" fillId="0" borderId="35" xfId="0" applyFont="1" applyBorder="1" applyAlignment="1">
      <alignment horizontal="left" vertical="center" wrapText="1" indent="1"/>
    </xf>
    <xf numFmtId="0" fontId="85" fillId="0" borderId="20" xfId="0" applyFont="1" applyBorder="1" applyAlignment="1">
      <alignment horizontal="left" vertical="center" wrapText="1" indent="1"/>
    </xf>
    <xf numFmtId="49" fontId="57" fillId="32" borderId="53" xfId="42" applyNumberFormat="1" applyFont="1" applyFill="1" applyBorder="1" applyAlignment="1">
      <alignment horizontal="center" vertical="center"/>
    </xf>
    <xf numFmtId="0" fontId="8" fillId="0" borderId="15" xfId="42" applyFont="1" applyBorder="1" applyAlignment="1">
      <alignment horizontal="left" indent="1"/>
    </xf>
    <xf numFmtId="0" fontId="8" fillId="0" borderId="22" xfId="42" applyFont="1" applyBorder="1" applyAlignment="1">
      <alignment horizontal="left" indent="1"/>
    </xf>
    <xf numFmtId="0" fontId="8" fillId="0" borderId="15" xfId="42" applyFont="1" applyFill="1" applyBorder="1" applyAlignment="1">
      <alignment horizontal="left" indent="1"/>
    </xf>
    <xf numFmtId="0" fontId="8" fillId="0" borderId="21" xfId="42" applyFont="1" applyFill="1" applyBorder="1" applyAlignment="1">
      <alignment horizontal="left" indent="1"/>
    </xf>
    <xf numFmtId="0" fontId="3" fillId="0" borderId="15" xfId="40" applyFont="1" applyFill="1" applyBorder="1" applyAlignment="1">
      <alignment horizontal="center" vertical="center" wrapText="1"/>
    </xf>
    <xf numFmtId="0" fontId="3" fillId="0" borderId="16" xfId="40" applyFont="1" applyFill="1" applyBorder="1" applyAlignment="1">
      <alignment horizontal="center" vertical="center" wrapText="1"/>
    </xf>
    <xf numFmtId="0" fontId="83" fillId="0" borderId="13" xfId="45" applyFont="1" applyBorder="1" applyAlignment="1">
      <alignment horizontal="center" vertical="center" wrapText="1"/>
    </xf>
    <xf numFmtId="0" fontId="85" fillId="0" borderId="19" xfId="42" applyFont="1" applyBorder="1"/>
    <xf numFmtId="49" fontId="89" fillId="0" borderId="17" xfId="43" applyNumberFormat="1" applyFont="1" applyBorder="1" applyAlignment="1">
      <alignment horizontal="left" vertical="center" wrapText="1" indent="1"/>
    </xf>
    <xf numFmtId="0" fontId="3" fillId="0" borderId="0" xfId="40" applyFont="1" applyAlignment="1">
      <alignment vertical="center" wrapText="1"/>
    </xf>
    <xf numFmtId="0" fontId="3" fillId="0" borderId="0" xfId="40" applyFont="1" applyBorder="1" applyAlignment="1">
      <alignment horizontal="center" vertical="center" wrapText="1"/>
    </xf>
    <xf numFmtId="0" fontId="7" fillId="0" borderId="0" xfId="40" applyFont="1" applyBorder="1" applyAlignment="1">
      <alignment horizontal="left" vertical="center" wrapText="1" indent="1"/>
    </xf>
    <xf numFmtId="49" fontId="33" fillId="0" borderId="0" xfId="40" applyNumberFormat="1" applyFont="1"/>
    <xf numFmtId="49" fontId="8" fillId="0" borderId="13" xfId="43" applyNumberFormat="1" applyFont="1" applyBorder="1" applyAlignment="1">
      <alignment horizontal="left" vertical="center" wrapText="1" indent="1"/>
    </xf>
    <xf numFmtId="3" fontId="3" fillId="35" borderId="13" xfId="43" applyNumberFormat="1" applyFont="1" applyFill="1" applyBorder="1" applyAlignment="1">
      <alignment horizontal="center" vertical="center" wrapText="1"/>
    </xf>
    <xf numFmtId="3" fontId="7" fillId="24" borderId="13" xfId="43" applyNumberFormat="1" applyFont="1" applyFill="1" applyBorder="1" applyAlignment="1">
      <alignment horizontal="center" vertical="center" wrapText="1"/>
    </xf>
    <xf numFmtId="3" fontId="7" fillId="24" borderId="14" xfId="43" applyNumberFormat="1" applyFont="1" applyFill="1" applyBorder="1" applyAlignment="1">
      <alignment horizontal="center" vertical="center" wrapText="1"/>
    </xf>
    <xf numFmtId="165" fontId="76" fillId="40" borderId="13" xfId="0" applyNumberFormat="1" applyFont="1" applyFill="1" applyBorder="1" applyAlignment="1">
      <alignment vertical="center" wrapText="1"/>
    </xf>
    <xf numFmtId="165" fontId="76" fillId="40" borderId="14" xfId="0" applyNumberFormat="1" applyFont="1" applyFill="1" applyBorder="1" applyAlignment="1">
      <alignment vertical="center" wrapText="1"/>
    </xf>
    <xf numFmtId="165" fontId="76" fillId="40" borderId="17" xfId="0" applyNumberFormat="1" applyFont="1" applyFill="1" applyBorder="1" applyAlignment="1">
      <alignment vertical="center" wrapText="1"/>
    </xf>
    <xf numFmtId="165" fontId="76" fillId="40" borderId="18" xfId="0" applyNumberFormat="1" applyFont="1" applyFill="1" applyBorder="1" applyAlignment="1">
      <alignment vertical="center" wrapText="1"/>
    </xf>
    <xf numFmtId="49" fontId="90" fillId="0" borderId="13" xfId="0" applyNumberFormat="1" applyFont="1" applyFill="1" applyBorder="1" applyAlignment="1">
      <alignment horizontal="left" vertical="top" wrapText="1" indent="1"/>
    </xf>
    <xf numFmtId="0" fontId="9" fillId="0" borderId="15" xfId="0" applyFont="1" applyBorder="1" applyAlignment="1">
      <alignment horizontal="center" vertical="center"/>
    </xf>
    <xf numFmtId="49" fontId="89" fillId="0" borderId="13" xfId="0" applyNumberFormat="1" applyFont="1" applyFill="1" applyBorder="1" applyAlignment="1">
      <alignment horizontal="left" vertical="top" wrapText="1" indent="1"/>
    </xf>
    <xf numFmtId="49" fontId="90" fillId="0" borderId="13" xfId="0" applyNumberFormat="1" applyFont="1" applyFill="1" applyBorder="1" applyAlignment="1">
      <alignment horizontal="left" wrapText="1" indent="1"/>
    </xf>
    <xf numFmtId="49" fontId="89" fillId="0" borderId="13" xfId="0" applyNumberFormat="1" applyFont="1" applyFill="1" applyBorder="1" applyAlignment="1">
      <alignment horizontal="left" vertical="top" wrapText="1"/>
    </xf>
    <xf numFmtId="49" fontId="90" fillId="0" borderId="13" xfId="0" applyNumberFormat="1" applyFont="1" applyFill="1" applyBorder="1" applyAlignment="1">
      <alignment horizontal="left" vertical="center" wrapText="1" indent="1"/>
    </xf>
    <xf numFmtId="49" fontId="90" fillId="0" borderId="13" xfId="0" applyNumberFormat="1" applyFont="1" applyFill="1" applyBorder="1" applyAlignment="1">
      <alignment horizontal="left" vertical="center" wrapText="1"/>
    </xf>
    <xf numFmtId="49" fontId="90" fillId="36" borderId="13" xfId="0" applyNumberFormat="1" applyFont="1" applyFill="1" applyBorder="1" applyAlignment="1">
      <alignment horizontal="left" vertical="top" wrapText="1" indent="1"/>
    </xf>
    <xf numFmtId="49" fontId="85" fillId="0" borderId="13" xfId="0" applyNumberFormat="1" applyFont="1" applyFill="1" applyBorder="1" applyAlignment="1">
      <alignment horizontal="left" vertical="center" wrapText="1" indent="1"/>
    </xf>
    <xf numFmtId="0" fontId="85" fillId="0" borderId="13" xfId="0" applyFont="1" applyFill="1" applyBorder="1" applyAlignment="1">
      <alignment vertical="center" wrapText="1"/>
    </xf>
    <xf numFmtId="0" fontId="85" fillId="0" borderId="15" xfId="0" applyFont="1" applyFill="1" applyBorder="1" applyAlignment="1">
      <alignment horizontal="right" vertical="center" wrapText="1" indent="1"/>
    </xf>
    <xf numFmtId="0" fontId="85" fillId="0" borderId="16" xfId="0" applyFont="1" applyFill="1" applyBorder="1" applyAlignment="1">
      <alignment horizontal="right" vertical="center" wrapText="1" indent="1"/>
    </xf>
    <xf numFmtId="0" fontId="85" fillId="0" borderId="22" xfId="0" applyFont="1" applyFill="1" applyBorder="1" applyAlignment="1">
      <alignment horizontal="right" vertical="center" wrapText="1" indent="1"/>
    </xf>
    <xf numFmtId="0" fontId="83" fillId="0" borderId="30" xfId="0" applyFont="1" applyBorder="1" applyAlignment="1">
      <alignment horizontal="center" vertical="center"/>
    </xf>
    <xf numFmtId="0" fontId="83" fillId="0" borderId="31" xfId="0" applyFont="1" applyBorder="1" applyAlignment="1">
      <alignment horizontal="center" vertical="center"/>
    </xf>
    <xf numFmtId="0" fontId="83" fillId="0" borderId="36" xfId="0" applyFont="1" applyBorder="1" applyAlignment="1">
      <alignment horizontal="center" vertical="center"/>
    </xf>
    <xf numFmtId="14" fontId="85" fillId="0" borderId="34" xfId="0" applyNumberFormat="1" applyFont="1" applyFill="1" applyBorder="1" applyAlignment="1">
      <alignment horizontal="center" vertical="center" wrapText="1"/>
    </xf>
    <xf numFmtId="14" fontId="85" fillId="0" borderId="14" xfId="0" applyNumberFormat="1" applyFont="1" applyFill="1" applyBorder="1" applyAlignment="1">
      <alignment horizontal="center" vertical="center" wrapText="1"/>
    </xf>
    <xf numFmtId="14" fontId="85"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Border="1" applyAlignment="1">
      <alignment horizontal="center" vertical="center" wrapText="1"/>
    </xf>
    <xf numFmtId="3" fontId="7" fillId="37" borderId="20" xfId="0" applyNumberFormat="1" applyFont="1" applyFill="1" applyBorder="1" applyAlignment="1">
      <alignment horizontal="right" vertical="center" wrapText="1" indent="1"/>
    </xf>
    <xf numFmtId="49" fontId="89" fillId="0" borderId="13" xfId="0" applyNumberFormat="1" applyFont="1" applyFill="1" applyBorder="1" applyAlignment="1">
      <alignment horizontal="left" vertical="center" wrapText="1" indent="1"/>
    </xf>
    <xf numFmtId="0" fontId="18" fillId="0" borderId="0" xfId="0" applyFont="1"/>
    <xf numFmtId="49" fontId="84" fillId="0" borderId="0" xfId="0" applyNumberFormat="1" applyFont="1" applyAlignment="1">
      <alignment horizontal="left" vertical="center"/>
    </xf>
    <xf numFmtId="0" fontId="85" fillId="43" borderId="13" xfId="0" applyFont="1" applyFill="1" applyBorder="1" applyAlignment="1">
      <alignment vertical="center" wrapText="1"/>
    </xf>
    <xf numFmtId="0" fontId="85" fillId="44" borderId="13" xfId="0" applyFont="1" applyFill="1" applyBorder="1" applyAlignment="1">
      <alignment vertical="center" wrapText="1"/>
    </xf>
    <xf numFmtId="0" fontId="85" fillId="45" borderId="29" xfId="0" applyFont="1" applyFill="1" applyBorder="1" applyAlignment="1">
      <alignment vertical="center" wrapText="1"/>
    </xf>
    <xf numFmtId="0" fontId="7" fillId="0" borderId="43" xfId="0" applyFont="1" applyFill="1" applyBorder="1" applyAlignment="1">
      <alignment horizontal="left" vertical="center" wrapText="1" indent="1"/>
    </xf>
    <xf numFmtId="3" fontId="3" fillId="35" borderId="13" xfId="0" applyNumberFormat="1" applyFont="1" applyFill="1" applyBorder="1" applyAlignment="1">
      <alignment horizontal="center" vertical="center" wrapText="1"/>
    </xf>
    <xf numFmtId="0" fontId="84" fillId="0" borderId="0" xfId="0" applyFont="1"/>
    <xf numFmtId="49" fontId="57" fillId="32" borderId="28" xfId="42" applyNumberFormat="1" applyFont="1" applyFill="1" applyBorder="1" applyAlignment="1">
      <alignment horizontal="center"/>
    </xf>
    <xf numFmtId="49" fontId="8"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85" fillId="0" borderId="15" xfId="35" applyFont="1" applyBorder="1" applyAlignment="1" applyProtection="1">
      <alignment horizontal="left" vertical="center" indent="1"/>
    </xf>
    <xf numFmtId="0" fontId="85" fillId="0" borderId="52" xfId="0" applyFont="1" applyBorder="1"/>
    <xf numFmtId="0" fontId="8" fillId="0" borderId="15" xfId="35" applyFont="1" applyBorder="1" applyAlignment="1" applyProtection="1">
      <alignment horizontal="left" vertical="center" indent="1"/>
    </xf>
    <xf numFmtId="0" fontId="83" fillId="0" borderId="43" xfId="0" applyFont="1" applyFill="1" applyBorder="1" applyAlignment="1">
      <alignment horizontal="left" vertical="center" wrapText="1" indent="1"/>
    </xf>
    <xf numFmtId="0" fontId="2" fillId="0" borderId="13" xfId="0" applyFont="1" applyBorder="1" applyAlignment="1">
      <alignment horizontal="center" vertical="center" wrapText="1"/>
    </xf>
    <xf numFmtId="49" fontId="2" fillId="0" borderId="13" xfId="0" applyNumberFormat="1" applyFont="1" applyFill="1" applyBorder="1" applyAlignment="1">
      <alignment vertical="center" wrapText="1"/>
    </xf>
    <xf numFmtId="49" fontId="91"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0" fontId="3" fillId="0" borderId="70" xfId="0" applyFont="1" applyFill="1" applyBorder="1" applyAlignment="1">
      <alignment horizontal="center" vertical="center" wrapText="1"/>
    </xf>
    <xf numFmtId="0" fontId="7" fillId="0" borderId="70" xfId="0" applyFont="1" applyFill="1" applyBorder="1" applyAlignment="1">
      <alignment horizontal="left" vertical="center" wrapText="1" indent="1"/>
    </xf>
    <xf numFmtId="0" fontId="7" fillId="0" borderId="70" xfId="0" applyFont="1" applyFill="1" applyBorder="1" applyAlignment="1">
      <alignment horizontal="center" vertical="center" wrapText="1"/>
    </xf>
    <xf numFmtId="0" fontId="3" fillId="0" borderId="70" xfId="0" applyFont="1" applyFill="1" applyBorder="1" applyAlignment="1">
      <alignment horizontal="right" vertical="center" wrapText="1" indent="1"/>
    </xf>
    <xf numFmtId="49" fontId="101" fillId="0" borderId="52" xfId="40" applyNumberFormat="1" applyFont="1" applyBorder="1"/>
    <xf numFmtId="0" fontId="24" fillId="0" borderId="27" xfId="40" applyFont="1" applyBorder="1"/>
    <xf numFmtId="14" fontId="86" fillId="0" borderId="0" xfId="40" applyNumberFormat="1" applyFont="1" applyAlignment="1">
      <alignment vertical="center" wrapText="1"/>
    </xf>
    <xf numFmtId="0" fontId="86" fillId="0" borderId="0" xfId="40" applyFont="1" applyAlignment="1">
      <alignment vertical="center" wrapText="1"/>
    </xf>
    <xf numFmtId="0" fontId="24" fillId="0" borderId="20" xfId="40" applyFont="1" applyBorder="1" applyAlignment="1">
      <alignment vertical="center"/>
    </xf>
    <xf numFmtId="0" fontId="24" fillId="0" borderId="52" xfId="40" applyFont="1" applyBorder="1" applyAlignment="1">
      <alignment vertical="center"/>
    </xf>
    <xf numFmtId="0" fontId="7" fillId="0" borderId="59" xfId="0" applyFont="1" applyFill="1" applyBorder="1" applyAlignment="1">
      <alignment horizontal="center" vertical="center" wrapText="1"/>
    </xf>
    <xf numFmtId="0" fontId="8" fillId="0" borderId="20" xfId="0" applyFont="1" applyFill="1" applyBorder="1" applyAlignment="1">
      <alignment horizontal="left" vertical="center" wrapText="1" indent="1"/>
    </xf>
    <xf numFmtId="0" fontId="85" fillId="0" borderId="20" xfId="0" applyFont="1" applyFill="1" applyBorder="1" applyAlignment="1">
      <alignment horizontal="left" vertical="center" wrapText="1" indent="1"/>
    </xf>
    <xf numFmtId="0" fontId="84" fillId="0" borderId="20" xfId="0" applyFont="1" applyFill="1" applyBorder="1" applyAlignment="1">
      <alignment horizontal="left" vertical="center" wrapText="1" indent="1"/>
    </xf>
    <xf numFmtId="0" fontId="8" fillId="0" borderId="43" xfId="0" applyNumberFormat="1" applyFont="1" applyFill="1" applyBorder="1" applyAlignment="1">
      <alignment horizontal="left" vertical="center" wrapText="1" indent="1"/>
    </xf>
    <xf numFmtId="3" fontId="7" fillId="24" borderId="61" xfId="0" applyNumberFormat="1" applyFont="1" applyFill="1" applyBorder="1" applyAlignment="1">
      <alignment horizontal="right" vertical="center" wrapText="1" indent="1"/>
    </xf>
    <xf numFmtId="3" fontId="7" fillId="24" borderId="76" xfId="0" applyNumberFormat="1" applyFont="1" applyFill="1" applyBorder="1" applyAlignment="1">
      <alignment horizontal="right" vertical="center" wrapText="1" indent="1"/>
    </xf>
    <xf numFmtId="0" fontId="2" fillId="0" borderId="56" xfId="0" applyFont="1" applyBorder="1" applyAlignment="1">
      <alignment horizontal="center" vertical="center" wrapText="1"/>
    </xf>
    <xf numFmtId="0" fontId="2" fillId="0" borderId="12" xfId="0" applyFont="1" applyBorder="1" applyAlignment="1">
      <alignment horizontal="center" vertical="center" wrapText="1"/>
    </xf>
    <xf numFmtId="4" fontId="3" fillId="0" borderId="0" xfId="0" applyNumberFormat="1" applyFont="1" applyFill="1" applyAlignment="1">
      <alignment horizontal="right" vertical="center" indent="1"/>
    </xf>
    <xf numFmtId="166" fontId="3" fillId="38" borderId="0" xfId="0" applyNumberFormat="1" applyFont="1" applyFill="1"/>
    <xf numFmtId="166" fontId="3" fillId="0" borderId="0" xfId="0" applyNumberFormat="1" applyFont="1"/>
    <xf numFmtId="49" fontId="86" fillId="0" borderId="0" xfId="0" applyNumberFormat="1" applyFont="1" applyBorder="1" applyAlignment="1">
      <alignment horizontal="left" vertical="center" wrapText="1" indent="1"/>
    </xf>
    <xf numFmtId="0" fontId="103" fillId="0" borderId="0" xfId="0" applyFont="1" applyFill="1" applyAlignment="1">
      <alignment horizontal="left" vertical="center" wrapText="1" indent="3"/>
    </xf>
    <xf numFmtId="0" fontId="1" fillId="0" borderId="0" xfId="0" applyFont="1"/>
    <xf numFmtId="0" fontId="72" fillId="0" borderId="0" xfId="0" applyFont="1"/>
    <xf numFmtId="49" fontId="90" fillId="0" borderId="13" xfId="0" applyNumberFormat="1" applyFont="1" applyFill="1" applyBorder="1" applyAlignment="1" applyProtection="1">
      <alignment horizontal="left" vertical="top" wrapText="1" indent="1"/>
      <protection locked="0"/>
    </xf>
    <xf numFmtId="0" fontId="65" fillId="0" borderId="52" xfId="0" applyFont="1" applyBorder="1"/>
    <xf numFmtId="0" fontId="12" fillId="0" borderId="46" xfId="0" applyFont="1" applyFill="1" applyBorder="1" applyAlignment="1">
      <alignment vertical="center"/>
    </xf>
    <xf numFmtId="0" fontId="8" fillId="0" borderId="46" xfId="0" applyFont="1" applyFill="1" applyBorder="1" applyAlignment="1">
      <alignment vertical="center"/>
    </xf>
    <xf numFmtId="0" fontId="8" fillId="0" borderId="46" xfId="0" applyFont="1" applyBorder="1"/>
    <xf numFmtId="0" fontId="8" fillId="0" borderId="47" xfId="0" applyFont="1" applyBorder="1"/>
    <xf numFmtId="0" fontId="8" fillId="0" borderId="49" xfId="0" applyFont="1" applyBorder="1"/>
    <xf numFmtId="0" fontId="8" fillId="0" borderId="32" xfId="0" applyFont="1" applyBorder="1"/>
    <xf numFmtId="0" fontId="8" fillId="0" borderId="27" xfId="0" applyFont="1" applyBorder="1"/>
    <xf numFmtId="0" fontId="65" fillId="0" borderId="27" xfId="0" applyFont="1" applyBorder="1"/>
    <xf numFmtId="0" fontId="105" fillId="0" borderId="0" xfId="0" applyFont="1" applyAlignment="1">
      <alignment horizontal="center"/>
    </xf>
    <xf numFmtId="0" fontId="8" fillId="0" borderId="0" xfId="0" applyFont="1" applyAlignment="1">
      <alignment horizontal="center"/>
    </xf>
    <xf numFmtId="0" fontId="75" fillId="0" borderId="46" xfId="0" applyFont="1" applyFill="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 fontId="7" fillId="24" borderId="17" xfId="0" applyNumberFormat="1" applyFont="1" applyFill="1" applyBorder="1" applyAlignment="1">
      <alignment horizontal="right" vertical="center" wrapText="1" indent="1"/>
    </xf>
    <xf numFmtId="0" fontId="8" fillId="0" borderId="0" xfId="0" applyFont="1" applyFill="1" applyAlignment="1">
      <alignment vertical="center" wrapText="1"/>
    </xf>
    <xf numFmtId="0" fontId="95"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88" fillId="0" borderId="0" xfId="0" applyFont="1" applyAlignment="1">
      <alignment horizontal="left"/>
    </xf>
    <xf numFmtId="0" fontId="0" fillId="0" borderId="0" xfId="0" applyFill="1" applyAlignment="1">
      <alignment horizontal="left"/>
    </xf>
    <xf numFmtId="0" fontId="34" fillId="0" borderId="0" xfId="0" applyFont="1" applyAlignment="1">
      <alignment horizontal="left"/>
    </xf>
    <xf numFmtId="0" fontId="18" fillId="0" borderId="0" xfId="0" applyFont="1" applyAlignment="1">
      <alignment horizontal="left" vertical="center"/>
    </xf>
    <xf numFmtId="0" fontId="8" fillId="0" borderId="0" xfId="0" applyFont="1" applyFill="1" applyAlignment="1">
      <alignment horizontal="left" vertical="center" wrapText="1"/>
    </xf>
    <xf numFmtId="0" fontId="102" fillId="0" borderId="0" xfId="0" applyFont="1" applyAlignment="1">
      <alignment horizontal="left"/>
    </xf>
    <xf numFmtId="0" fontId="29" fillId="0" borderId="0" xfId="0" applyFont="1" applyFill="1" applyAlignment="1">
      <alignment vertical="center"/>
    </xf>
    <xf numFmtId="0" fontId="88" fillId="0" borderId="0" xfId="0" applyFont="1" applyFill="1" applyAlignment="1">
      <alignment horizontal="left"/>
    </xf>
    <xf numFmtId="0" fontId="106" fillId="0" borderId="0" xfId="0" applyFont="1" applyAlignment="1">
      <alignment horizontal="left" wrapText="1"/>
    </xf>
    <xf numFmtId="0" fontId="8" fillId="0" borderId="13" xfId="40" applyFont="1" applyBorder="1" applyAlignment="1">
      <alignment horizontal="center" vertical="center" wrapText="1"/>
    </xf>
    <xf numFmtId="0" fontId="7" fillId="0" borderId="13" xfId="40" applyFont="1" applyBorder="1" applyAlignment="1">
      <alignment horizontal="center" vertical="center" wrapText="1"/>
    </xf>
    <xf numFmtId="0" fontId="7" fillId="0" borderId="13" xfId="40" applyFont="1" applyBorder="1" applyAlignment="1">
      <alignment horizontal="left" vertical="center" wrapText="1" indent="1"/>
    </xf>
    <xf numFmtId="0" fontId="8" fillId="0" borderId="14" xfId="40" applyFont="1" applyBorder="1" applyAlignment="1">
      <alignment horizontal="center" vertical="center" wrapText="1"/>
    </xf>
    <xf numFmtId="0" fontId="7" fillId="0" borderId="14" xfId="40" applyFont="1" applyBorder="1" applyAlignment="1">
      <alignment horizontal="center" vertical="center" wrapText="1"/>
    </xf>
    <xf numFmtId="0" fontId="3" fillId="0" borderId="16" xfId="40" applyFont="1" applyBorder="1" applyAlignment="1">
      <alignment horizontal="center" vertical="center" wrapText="1"/>
    </xf>
    <xf numFmtId="0" fontId="7" fillId="0" borderId="17" xfId="40" applyFont="1" applyBorder="1" applyAlignment="1">
      <alignment horizontal="left" vertical="center" wrapText="1" indent="1"/>
    </xf>
    <xf numFmtId="3" fontId="3" fillId="35" borderId="17" xfId="40" applyNumberFormat="1" applyFont="1" applyFill="1" applyBorder="1" applyAlignment="1">
      <alignment horizontal="right" vertical="center" wrapText="1" indent="1"/>
    </xf>
    <xf numFmtId="3" fontId="3" fillId="35" borderId="18" xfId="40" applyNumberFormat="1" applyFont="1" applyFill="1" applyBorder="1" applyAlignment="1">
      <alignment horizontal="right" vertical="center" wrapText="1" indent="1"/>
    </xf>
    <xf numFmtId="0" fontId="105" fillId="0" borderId="14" xfId="35" applyFont="1" applyBorder="1" applyAlignment="1" applyProtection="1">
      <alignment horizontal="left" vertical="center" indent="1"/>
    </xf>
    <xf numFmtId="0" fontId="88" fillId="0" borderId="0" xfId="0" applyFont="1" applyAlignment="1">
      <alignment vertical="center"/>
    </xf>
    <xf numFmtId="0" fontId="109" fillId="0" borderId="13" xfId="0" applyFont="1" applyFill="1" applyBorder="1" applyAlignment="1">
      <alignment horizontal="center" vertical="center" wrapText="1"/>
    </xf>
    <xf numFmtId="0" fontId="109" fillId="0" borderId="14" xfId="0" applyFont="1" applyFill="1" applyBorder="1" applyAlignment="1">
      <alignment horizontal="center" vertical="center" wrapText="1"/>
    </xf>
    <xf numFmtId="0" fontId="83" fillId="0" borderId="13" xfId="41" applyFont="1" applyBorder="1" applyAlignment="1">
      <alignment horizontal="center" vertical="center"/>
    </xf>
    <xf numFmtId="0" fontId="83" fillId="0" borderId="13" xfId="41" applyFont="1" applyBorder="1" applyAlignment="1">
      <alignment vertical="center"/>
    </xf>
    <xf numFmtId="0" fontId="83" fillId="0" borderId="23" xfId="41" applyFont="1" applyBorder="1" applyAlignment="1">
      <alignment horizontal="center" vertical="center" wrapText="1"/>
    </xf>
    <xf numFmtId="0" fontId="83" fillId="0" borderId="25" xfId="41" applyFont="1" applyBorder="1" applyAlignment="1">
      <alignment horizontal="center" vertical="center"/>
    </xf>
    <xf numFmtId="0" fontId="83" fillId="0" borderId="25" xfId="41" applyFont="1" applyBorder="1" applyAlignment="1">
      <alignment horizontal="center" vertical="center" wrapText="1"/>
    </xf>
    <xf numFmtId="0" fontId="83" fillId="0" borderId="24" xfId="41" applyFont="1" applyBorder="1" applyAlignment="1">
      <alignment horizontal="center" vertical="center" wrapText="1"/>
    </xf>
    <xf numFmtId="0" fontId="83" fillId="0" borderId="15" xfId="41" applyFont="1" applyBorder="1" applyAlignment="1">
      <alignment vertical="center"/>
    </xf>
    <xf numFmtId="0" fontId="83" fillId="0" borderId="14" xfId="41" applyFont="1" applyBorder="1" applyAlignment="1">
      <alignment horizontal="center" vertical="center"/>
    </xf>
    <xf numFmtId="0" fontId="83" fillId="0" borderId="17" xfId="41" applyFont="1" applyBorder="1" applyAlignment="1">
      <alignment horizontal="left" vertical="center" indent="1"/>
    </xf>
    <xf numFmtId="0" fontId="85" fillId="0" borderId="22" xfId="41" applyFont="1" applyBorder="1" applyAlignment="1">
      <alignment horizontal="center" vertical="center"/>
    </xf>
    <xf numFmtId="0" fontId="83" fillId="0" borderId="29" xfId="41" applyFont="1" applyBorder="1" applyAlignment="1">
      <alignment horizontal="left" vertical="center" indent="1"/>
    </xf>
    <xf numFmtId="0" fontId="85" fillId="0" borderId="77" xfId="41" applyFont="1" applyBorder="1" applyAlignment="1">
      <alignment horizontal="center" vertical="center"/>
    </xf>
    <xf numFmtId="0" fontId="83" fillId="0" borderId="78" xfId="41" applyFont="1" applyBorder="1" applyAlignment="1">
      <alignment horizontal="left" vertical="center" indent="1"/>
    </xf>
    <xf numFmtId="166" fontId="7" fillId="24" borderId="71" xfId="0" applyNumberFormat="1" applyFont="1" applyFill="1" applyBorder="1" applyAlignment="1">
      <alignment horizontal="right" vertical="center" wrapText="1" indent="1"/>
    </xf>
    <xf numFmtId="166" fontId="7" fillId="24" borderId="51" xfId="0" applyNumberFormat="1" applyFont="1" applyFill="1" applyBorder="1" applyAlignment="1">
      <alignment horizontal="right" vertical="center" wrapText="1" indent="1"/>
    </xf>
    <xf numFmtId="0" fontId="82" fillId="0" borderId="0" xfId="41" applyFill="1"/>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47" borderId="0" xfId="0" applyFont="1" applyFill="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7" fillId="0" borderId="62" xfId="0" applyFont="1" applyBorder="1" applyAlignment="1">
      <alignment vertical="center" wrapText="1"/>
    </xf>
    <xf numFmtId="0" fontId="8" fillId="32" borderId="82" xfId="0" applyFont="1" applyFill="1" applyBorder="1" applyAlignment="1">
      <alignment vertical="center" wrapText="1"/>
    </xf>
    <xf numFmtId="0" fontId="85" fillId="0" borderId="34" xfId="0" applyFont="1" applyFill="1" applyBorder="1" applyAlignment="1">
      <alignment horizontal="left" vertical="center" wrapText="1" indent="1"/>
    </xf>
    <xf numFmtId="0" fontId="85" fillId="0" borderId="17" xfId="0" applyFont="1" applyFill="1" applyBorder="1" applyAlignment="1">
      <alignment horizontal="left" vertical="center" wrapText="1" indent="1"/>
    </xf>
    <xf numFmtId="0" fontId="85" fillId="0" borderId="18" xfId="0" applyFont="1" applyFill="1" applyBorder="1" applyAlignment="1">
      <alignment horizontal="left" vertical="center" wrapText="1" indent="1"/>
    </xf>
    <xf numFmtId="0" fontId="8" fillId="42" borderId="0" xfId="0" applyFont="1" applyFill="1" applyAlignment="1">
      <alignment wrapText="1"/>
    </xf>
    <xf numFmtId="49" fontId="110" fillId="0" borderId="13" xfId="43" applyNumberFormat="1" applyFont="1" applyBorder="1" applyAlignment="1">
      <alignment horizontal="left" vertical="center" wrapText="1" indent="1"/>
    </xf>
    <xf numFmtId="49" fontId="105" fillId="0" borderId="13" xfId="43" applyNumberFormat="1" applyFont="1" applyBorder="1" applyAlignment="1">
      <alignment horizontal="left" vertical="center" wrapText="1" indent="1"/>
    </xf>
    <xf numFmtId="0" fontId="3" fillId="0" borderId="21" xfId="43" applyFont="1" applyBorder="1" applyAlignment="1">
      <alignment horizontal="center" vertical="center" wrapText="1"/>
    </xf>
    <xf numFmtId="0" fontId="86" fillId="0" borderId="15" xfId="0" applyFont="1" applyBorder="1" applyAlignment="1">
      <alignment horizontal="center" vertical="center" wrapText="1"/>
    </xf>
    <xf numFmtId="0" fontId="8" fillId="0" borderId="29" xfId="0" applyFont="1" applyFill="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49" fontId="57" fillId="0" borderId="17" xfId="0" applyNumberFormat="1" applyFont="1" applyFill="1" applyBorder="1" applyAlignment="1">
      <alignment horizontal="left" vertical="center" wrapText="1" indent="1"/>
    </xf>
    <xf numFmtId="49" fontId="94" fillId="0" borderId="19" xfId="0" applyNumberFormat="1" applyFont="1" applyBorder="1" applyAlignment="1">
      <alignment horizontal="left" vertical="center" wrapText="1" indent="1"/>
    </xf>
    <xf numFmtId="49" fontId="84" fillId="0" borderId="13" xfId="0" applyNumberFormat="1" applyFont="1" applyBorder="1" applyAlignment="1">
      <alignment horizontal="left" vertical="center" wrapText="1" indent="1"/>
    </xf>
    <xf numFmtId="49" fontId="84" fillId="0" borderId="19" xfId="0" applyNumberFormat="1" applyFont="1" applyBorder="1" applyAlignment="1">
      <alignment horizontal="left" vertical="center" wrapText="1" indent="1"/>
    </xf>
    <xf numFmtId="0" fontId="84" fillId="0" borderId="14" xfId="35" applyFont="1" applyBorder="1" applyAlignment="1" applyProtection="1">
      <alignment horizontal="left" vertical="center" indent="1"/>
    </xf>
    <xf numFmtId="0" fontId="90" fillId="0" borderId="15" xfId="0" applyFont="1" applyBorder="1" applyAlignment="1">
      <alignment horizontal="center" vertical="center" wrapText="1"/>
    </xf>
    <xf numFmtId="0" fontId="90" fillId="0" borderId="75" xfId="0" applyFont="1" applyBorder="1" applyAlignment="1">
      <alignment horizontal="center" vertical="center" wrapText="1"/>
    </xf>
    <xf numFmtId="0" fontId="90" fillId="47" borderId="0" xfId="0" applyFont="1" applyFill="1" applyAlignment="1">
      <alignment vertical="center" wrapText="1"/>
    </xf>
    <xf numFmtId="0" fontId="89" fillId="0" borderId="56" xfId="0" applyFont="1" applyBorder="1" applyAlignment="1">
      <alignment horizontal="center" vertical="center" wrapText="1"/>
    </xf>
    <xf numFmtId="0" fontId="89" fillId="0" borderId="0" xfId="0" applyFont="1" applyBorder="1" applyAlignment="1">
      <alignment vertical="center" wrapText="1"/>
    </xf>
    <xf numFmtId="3" fontId="89" fillId="24" borderId="43" xfId="0" applyNumberFormat="1" applyFont="1" applyFill="1" applyBorder="1" applyAlignment="1">
      <alignment horizontal="right" vertical="center" wrapText="1" indent="1"/>
    </xf>
    <xf numFmtId="0" fontId="90" fillId="0" borderId="15" xfId="0" applyFont="1" applyBorder="1" applyAlignment="1">
      <alignment vertical="center" wrapText="1"/>
    </xf>
    <xf numFmtId="0" fontId="90" fillId="0" borderId="13" xfId="0" applyFont="1" applyBorder="1" applyAlignment="1">
      <alignment vertical="center" wrapText="1"/>
    </xf>
    <xf numFmtId="0" fontId="90" fillId="0" borderId="14" xfId="0" applyFont="1" applyBorder="1" applyAlignment="1">
      <alignment vertical="center" wrapText="1"/>
    </xf>
    <xf numFmtId="3" fontId="89" fillId="37" borderId="43" xfId="0" applyNumberFormat="1" applyFont="1" applyFill="1" applyBorder="1" applyAlignment="1">
      <alignment horizontal="right" vertical="center" wrapText="1" indent="1"/>
    </xf>
    <xf numFmtId="3" fontId="89" fillId="24" borderId="55" xfId="0" applyNumberFormat="1" applyFont="1" applyFill="1" applyBorder="1" applyAlignment="1">
      <alignment horizontal="right" vertical="center" wrapText="1" indent="1"/>
    </xf>
    <xf numFmtId="0" fontId="90" fillId="0" borderId="0" xfId="0" applyFont="1" applyAlignment="1">
      <alignment vertical="center" wrapText="1"/>
    </xf>
    <xf numFmtId="0" fontId="89" fillId="0" borderId="0" xfId="0" applyFont="1" applyAlignment="1">
      <alignment horizontal="center" vertical="center"/>
    </xf>
    <xf numFmtId="0" fontId="89" fillId="0" borderId="0" xfId="0" applyFont="1" applyAlignment="1">
      <alignment vertical="center" wrapText="1"/>
    </xf>
    <xf numFmtId="0" fontId="83" fillId="0" borderId="57" xfId="0" applyFont="1" applyBorder="1" applyAlignment="1">
      <alignment horizontal="center" vertical="center"/>
    </xf>
    <xf numFmtId="49" fontId="86" fillId="0" borderId="13" xfId="0" applyNumberFormat="1" applyFont="1" applyFill="1" applyBorder="1" applyAlignment="1">
      <alignment horizontal="left" vertical="top" wrapText="1" indent="1"/>
    </xf>
    <xf numFmtId="49" fontId="86" fillId="0" borderId="13" xfId="0" applyNumberFormat="1" applyFont="1" applyFill="1" applyBorder="1" applyAlignment="1">
      <alignment horizontal="left" vertical="center" wrapText="1" indent="1"/>
    </xf>
    <xf numFmtId="49" fontId="84" fillId="0" borderId="13" xfId="0" applyNumberFormat="1" applyFont="1" applyFill="1" applyBorder="1" applyAlignment="1">
      <alignment horizontal="left" vertical="center" wrapText="1" indent="1"/>
    </xf>
    <xf numFmtId="0" fontId="84" fillId="0" borderId="14" xfId="35" applyFont="1" applyBorder="1" applyAlignment="1" applyProtection="1">
      <alignment horizontal="left" vertical="center" wrapText="1" indent="1"/>
    </xf>
    <xf numFmtId="0" fontId="84" fillId="0" borderId="15" xfId="35" applyFont="1" applyBorder="1" applyAlignment="1" applyProtection="1">
      <alignment horizontal="left" vertical="center" indent="1"/>
    </xf>
    <xf numFmtId="0" fontId="84" fillId="0" borderId="20" xfId="0" applyFont="1" applyBorder="1" applyAlignment="1">
      <alignment horizontal="left" vertical="center" wrapText="1" indent="1"/>
    </xf>
    <xf numFmtId="0" fontId="84" fillId="37" borderId="15" xfId="35" applyFont="1" applyFill="1" applyBorder="1" applyAlignment="1" applyProtection="1">
      <alignment horizontal="left" vertical="center" indent="1"/>
    </xf>
    <xf numFmtId="0" fontId="84" fillId="37" borderId="20" xfId="0" applyFont="1" applyFill="1" applyBorder="1" applyAlignment="1">
      <alignment horizontal="left" vertical="center" wrapText="1" indent="1"/>
    </xf>
    <xf numFmtId="3" fontId="7" fillId="0" borderId="22" xfId="44" applyNumberFormat="1" applyFont="1" applyFill="1" applyBorder="1" applyAlignment="1">
      <alignment horizontal="center" vertical="center" wrapText="1"/>
    </xf>
    <xf numFmtId="0" fontId="7" fillId="0" borderId="29" xfId="44" applyNumberFormat="1" applyFont="1" applyFill="1" applyBorder="1" applyAlignment="1">
      <alignment horizontal="center" vertical="center" wrapText="1"/>
    </xf>
    <xf numFmtId="0" fontId="7" fillId="37" borderId="29" xfId="44" applyFont="1" applyFill="1" applyBorder="1" applyAlignment="1">
      <alignment horizontal="center" vertical="center" wrapText="1"/>
    </xf>
    <xf numFmtId="0" fontId="7" fillId="37" borderId="34" xfId="44" applyFont="1" applyFill="1" applyBorder="1" applyAlignment="1">
      <alignment horizontal="center" vertical="center" wrapText="1"/>
    </xf>
    <xf numFmtId="3" fontId="7" fillId="0" borderId="30" xfId="44" applyNumberFormat="1" applyFont="1" applyFill="1" applyBorder="1" applyAlignment="1">
      <alignment horizontal="center" vertical="center" wrapText="1"/>
    </xf>
    <xf numFmtId="0" fontId="7" fillId="0" borderId="30" xfId="44" applyNumberFormat="1" applyFont="1" applyFill="1" applyBorder="1" applyAlignment="1">
      <alignment horizontal="center" vertical="center" wrapText="1"/>
    </xf>
    <xf numFmtId="0" fontId="7" fillId="0" borderId="83" xfId="44" applyNumberFormat="1" applyFont="1" applyFill="1" applyBorder="1" applyAlignment="1">
      <alignment horizontal="center" vertical="center" wrapText="1"/>
    </xf>
    <xf numFmtId="0" fontId="7" fillId="37" borderId="31" xfId="44" applyFont="1" applyFill="1" applyBorder="1" applyAlignment="1">
      <alignment horizontal="center" vertical="center" wrapText="1"/>
    </xf>
    <xf numFmtId="0" fontId="7" fillId="37" borderId="53" xfId="44" applyFont="1" applyFill="1" applyBorder="1" applyAlignment="1">
      <alignment horizontal="center" vertical="center" wrapText="1"/>
    </xf>
    <xf numFmtId="0" fontId="7" fillId="37" borderId="63" xfId="44" applyFont="1" applyFill="1" applyBorder="1" applyAlignment="1">
      <alignment horizontal="center" vertical="center" wrapText="1"/>
    </xf>
    <xf numFmtId="3" fontId="7" fillId="0" borderId="29" xfId="44" applyNumberFormat="1" applyFont="1" applyFill="1" applyBorder="1" applyAlignment="1">
      <alignment horizontal="center" vertical="center" wrapText="1"/>
    </xf>
    <xf numFmtId="0" fontId="94" fillId="0" borderId="0" xfId="0" applyFont="1" applyFill="1" applyAlignment="1">
      <alignment horizontal="center" vertical="center" wrapText="1"/>
    </xf>
    <xf numFmtId="0" fontId="84" fillId="0" borderId="24" xfId="0" applyFont="1" applyBorder="1" applyAlignment="1">
      <alignment horizontal="left" vertical="center" wrapText="1" indent="1"/>
    </xf>
    <xf numFmtId="4" fontId="3" fillId="0" borderId="0" xfId="0" applyNumberFormat="1" applyFont="1" applyAlignment="1">
      <alignment vertical="center" wrapText="1"/>
    </xf>
    <xf numFmtId="4" fontId="3" fillId="0" borderId="0" xfId="0" applyNumberFormat="1" applyFont="1"/>
    <xf numFmtId="3" fontId="3" fillId="0" borderId="0" xfId="0" applyNumberFormat="1" applyFont="1" applyBorder="1" applyAlignment="1">
      <alignment vertical="center" wrapText="1"/>
    </xf>
    <xf numFmtId="0" fontId="3" fillId="0" borderId="0" xfId="0" applyFont="1" applyBorder="1" applyAlignment="1">
      <alignment horizontal="right" vertical="center" wrapText="1"/>
    </xf>
    <xf numFmtId="4" fontId="3" fillId="0" borderId="0" xfId="0" applyNumberFormat="1" applyFont="1" applyBorder="1" applyAlignment="1">
      <alignment vertical="center" wrapText="1"/>
    </xf>
    <xf numFmtId="4" fontId="113" fillId="0" borderId="0" xfId="0" applyNumberFormat="1" applyFont="1" applyBorder="1" applyAlignment="1">
      <alignment vertical="center" wrapText="1"/>
    </xf>
    <xf numFmtId="0" fontId="8" fillId="37" borderId="0" xfId="0" applyFont="1" applyFill="1" applyBorder="1" applyAlignment="1">
      <alignment vertical="center" wrapText="1"/>
    </xf>
    <xf numFmtId="4" fontId="8" fillId="0" borderId="0" xfId="0" applyNumberFormat="1" applyFont="1" applyBorder="1" applyAlignment="1">
      <alignment vertical="center" wrapText="1"/>
    </xf>
    <xf numFmtId="4" fontId="114" fillId="0" borderId="0" xfId="0" applyNumberFormat="1" applyFont="1" applyBorder="1" applyAlignment="1">
      <alignment vertical="center" wrapText="1"/>
    </xf>
    <xf numFmtId="4" fontId="2" fillId="24" borderId="13" xfId="0" applyNumberFormat="1" applyFont="1" applyFill="1" applyBorder="1" applyAlignment="1">
      <alignment horizontal="right" vertical="center" wrapText="1" indent="1"/>
    </xf>
    <xf numFmtId="4" fontId="3" fillId="35" borderId="13" xfId="0" applyNumberFormat="1" applyFont="1" applyFill="1" applyBorder="1" applyAlignment="1">
      <alignment horizontal="right" vertical="center" wrapText="1" indent="1"/>
    </xf>
    <xf numFmtId="4" fontId="3" fillId="0" borderId="13" xfId="0" applyNumberFormat="1" applyFont="1" applyFill="1" applyBorder="1" applyAlignment="1">
      <alignment horizontal="right" vertical="center" wrapText="1" indent="1"/>
    </xf>
    <xf numFmtId="4" fontId="3" fillId="35" borderId="19"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vertical="center" wrapText="1" indent="1"/>
    </xf>
    <xf numFmtId="4" fontId="7" fillId="24" borderId="19" xfId="0" applyNumberFormat="1" applyFont="1" applyFill="1" applyBorder="1" applyAlignment="1">
      <alignment horizontal="right" vertical="center" wrapText="1" indent="1"/>
    </xf>
    <xf numFmtId="4" fontId="7" fillId="35" borderId="20" xfId="0" applyNumberFormat="1" applyFont="1" applyFill="1" applyBorder="1" applyAlignment="1">
      <alignment horizontal="right" vertical="center" wrapText="1" indent="1"/>
    </xf>
    <xf numFmtId="4" fontId="8" fillId="0" borderId="13" xfId="0" applyNumberFormat="1" applyFont="1" applyBorder="1" applyAlignment="1">
      <alignment horizontal="center" vertical="center" wrapText="1"/>
    </xf>
    <xf numFmtId="4" fontId="8" fillId="0" borderId="14" xfId="0" applyNumberFormat="1" applyFont="1" applyBorder="1" applyAlignment="1">
      <alignment horizontal="center" vertical="center" wrapText="1"/>
    </xf>
    <xf numFmtId="4" fontId="7" fillId="35" borderId="13" xfId="0" applyNumberFormat="1" applyFont="1" applyFill="1" applyBorder="1" applyAlignment="1">
      <alignment horizontal="right" vertical="center" wrapText="1" indent="1"/>
    </xf>
    <xf numFmtId="4" fontId="7" fillId="35" borderId="14" xfId="0" applyNumberFormat="1" applyFont="1" applyFill="1" applyBorder="1" applyAlignment="1">
      <alignment horizontal="right" vertical="center" wrapText="1" indent="1"/>
    </xf>
    <xf numFmtId="4" fontId="7" fillId="24" borderId="27" xfId="0" applyNumberFormat="1" applyFont="1" applyFill="1" applyBorder="1" applyAlignment="1">
      <alignment horizontal="right" vertical="center" wrapText="1" indent="1"/>
    </xf>
    <xf numFmtId="4" fontId="7" fillId="35" borderId="27" xfId="0" applyNumberFormat="1" applyFont="1" applyFill="1" applyBorder="1" applyAlignment="1">
      <alignment horizontal="right" vertical="center" wrapText="1" indent="1"/>
    </xf>
    <xf numFmtId="4" fontId="7" fillId="24" borderId="20" xfId="0" applyNumberFormat="1" applyFont="1" applyFill="1" applyBorder="1" applyAlignment="1">
      <alignment horizontal="right" vertical="center" wrapText="1" indent="1"/>
    </xf>
    <xf numFmtId="4" fontId="7" fillId="24" borderId="28" xfId="0" applyNumberFormat="1" applyFont="1" applyFill="1" applyBorder="1" applyAlignment="1">
      <alignment horizontal="right" vertical="center" wrapText="1" indent="1"/>
    </xf>
    <xf numFmtId="4" fontId="8" fillId="0" borderId="17" xfId="0" applyNumberFormat="1" applyFont="1" applyBorder="1" applyAlignment="1">
      <alignment horizontal="center" vertical="center" wrapText="1"/>
    </xf>
    <xf numFmtId="4" fontId="8" fillId="0" borderId="18" xfId="0" applyNumberFormat="1" applyFont="1" applyBorder="1" applyAlignment="1">
      <alignment horizontal="center" vertical="center" wrapText="1"/>
    </xf>
    <xf numFmtId="3" fontId="3" fillId="35" borderId="26" xfId="0" applyNumberFormat="1" applyFont="1" applyFill="1" applyBorder="1" applyAlignment="1">
      <alignment horizontal="right" vertical="center" wrapText="1" indent="1"/>
    </xf>
    <xf numFmtId="3" fontId="3" fillId="35" borderId="18" xfId="0" applyNumberFormat="1" applyFont="1" applyFill="1" applyBorder="1" applyAlignment="1">
      <alignment horizontal="right" vertical="center" wrapText="1" indent="1"/>
    </xf>
    <xf numFmtId="4" fontId="7" fillId="24" borderId="13" xfId="0" applyNumberFormat="1" applyFont="1" applyFill="1" applyBorder="1" applyAlignment="1">
      <alignment horizontal="right" vertical="center" wrapText="1" indent="1"/>
    </xf>
    <xf numFmtId="4" fontId="7" fillId="0" borderId="17" xfId="0" applyNumberFormat="1" applyFont="1" applyFill="1" applyBorder="1" applyAlignment="1">
      <alignment horizontal="right" vertical="center" wrapText="1" indent="1"/>
    </xf>
    <xf numFmtId="4" fontId="82" fillId="0" borderId="0" xfId="41" applyNumberFormat="1"/>
    <xf numFmtId="3" fontId="29" fillId="0" borderId="0" xfId="0" applyNumberFormat="1" applyFont="1" applyBorder="1" applyAlignment="1">
      <alignment horizontal="left"/>
    </xf>
    <xf numFmtId="4" fontId="2" fillId="24" borderId="17" xfId="0" applyNumberFormat="1" applyFont="1" applyFill="1" applyBorder="1" applyAlignment="1">
      <alignment horizontal="right" vertical="center" wrapText="1" indent="1"/>
    </xf>
    <xf numFmtId="4" fontId="3" fillId="35" borderId="13" xfId="40" applyNumberFormat="1" applyFont="1" applyFill="1" applyBorder="1" applyAlignment="1">
      <alignment horizontal="right" vertical="center" wrapText="1" indent="1"/>
    </xf>
    <xf numFmtId="4" fontId="7" fillId="24" borderId="13" xfId="40" applyNumberFormat="1" applyFont="1" applyFill="1" applyBorder="1" applyAlignment="1">
      <alignment horizontal="right" vertical="center" wrapText="1" indent="1"/>
    </xf>
    <xf numFmtId="4" fontId="7" fillId="24" borderId="14" xfId="40" applyNumberFormat="1" applyFont="1" applyFill="1" applyBorder="1" applyAlignment="1">
      <alignment horizontal="right" vertical="center" wrapText="1" indent="1"/>
    </xf>
    <xf numFmtId="4" fontId="3" fillId="35" borderId="14" xfId="40" applyNumberFormat="1" applyFont="1" applyFill="1" applyBorder="1" applyAlignment="1">
      <alignment horizontal="right" vertical="center" wrapText="1" indent="1"/>
    </xf>
    <xf numFmtId="4" fontId="3" fillId="0" borderId="0" xfId="40" applyNumberFormat="1" applyFont="1"/>
    <xf numFmtId="0" fontId="7" fillId="0" borderId="0" xfId="40" applyFont="1"/>
    <xf numFmtId="4" fontId="7" fillId="24" borderId="13" xfId="43" applyNumberFormat="1" applyFont="1" applyFill="1" applyBorder="1" applyAlignment="1">
      <alignment horizontal="right" vertical="center" wrapText="1" indent="1"/>
    </xf>
    <xf numFmtId="4" fontId="7" fillId="24" borderId="14" xfId="43" applyNumberFormat="1" applyFont="1" applyFill="1" applyBorder="1" applyAlignment="1">
      <alignment horizontal="right" vertical="center" wrapText="1" indent="1"/>
    </xf>
    <xf numFmtId="4" fontId="3" fillId="35" borderId="13" xfId="43" applyNumberFormat="1" applyFont="1" applyFill="1" applyBorder="1" applyAlignment="1">
      <alignment horizontal="right" vertical="center" wrapText="1" indent="1"/>
    </xf>
    <xf numFmtId="4" fontId="3" fillId="35" borderId="13" xfId="43" applyNumberFormat="1" applyFont="1" applyFill="1" applyBorder="1" applyAlignment="1">
      <alignment horizontal="center" vertical="center" wrapText="1"/>
    </xf>
    <xf numFmtId="4" fontId="7" fillId="24" borderId="14" xfId="43" applyNumberFormat="1" applyFont="1" applyFill="1" applyBorder="1" applyAlignment="1">
      <alignment horizontal="center" vertical="center" wrapText="1"/>
    </xf>
    <xf numFmtId="4" fontId="7" fillId="24" borderId="13" xfId="43" applyNumberFormat="1" applyFont="1" applyFill="1" applyBorder="1" applyAlignment="1">
      <alignment horizontal="center" vertical="center" wrapText="1"/>
    </xf>
    <xf numFmtId="4" fontId="3" fillId="35" borderId="19" xfId="43" applyNumberFormat="1" applyFont="1" applyFill="1" applyBorder="1" applyAlignment="1">
      <alignment horizontal="right" vertical="center" wrapText="1" indent="1"/>
    </xf>
    <xf numFmtId="4" fontId="2" fillId="24" borderId="17" xfId="43" applyNumberFormat="1" applyFont="1" applyFill="1" applyBorder="1" applyAlignment="1">
      <alignment horizontal="right" vertical="center" wrapText="1" indent="1"/>
    </xf>
    <xf numFmtId="4" fontId="7" fillId="24" borderId="17" xfId="43" applyNumberFormat="1" applyFont="1" applyFill="1" applyBorder="1" applyAlignment="1">
      <alignment horizontal="right" vertical="center" wrapText="1" indent="1"/>
    </xf>
    <xf numFmtId="4" fontId="7" fillId="24" borderId="18" xfId="43" applyNumberFormat="1" applyFont="1" applyFill="1" applyBorder="1" applyAlignment="1">
      <alignment horizontal="right" vertical="center" wrapText="1" indent="1"/>
    </xf>
    <xf numFmtId="0" fontId="3" fillId="0" borderId="0" xfId="40" applyFont="1" applyFill="1" applyBorder="1" applyAlignment="1">
      <alignment horizontal="center"/>
    </xf>
    <xf numFmtId="3" fontId="3" fillId="0" borderId="27" xfId="40" applyNumberFormat="1" applyFont="1" applyFill="1" applyBorder="1" applyAlignment="1">
      <alignment horizontal="center" wrapText="1"/>
    </xf>
    <xf numFmtId="4" fontId="7" fillId="0" borderId="0" xfId="40" applyNumberFormat="1" applyFont="1" applyFill="1" applyBorder="1" applyAlignment="1">
      <alignment horizontal="right" vertical="center" wrapText="1" indent="1"/>
    </xf>
    <xf numFmtId="4" fontId="3" fillId="0" borderId="0" xfId="40" applyNumberFormat="1" applyFont="1" applyFill="1" applyBorder="1" applyAlignment="1">
      <alignment horizontal="right" vertical="center" wrapText="1" indent="1"/>
    </xf>
    <xf numFmtId="4" fontId="3" fillId="35" borderId="27" xfId="40" applyNumberFormat="1" applyFont="1" applyFill="1" applyBorder="1" applyAlignment="1">
      <alignment horizontal="right" vertical="center" wrapText="1" indent="1"/>
    </xf>
    <xf numFmtId="4" fontId="3" fillId="24" borderId="13" xfId="40" applyNumberFormat="1" applyFont="1" applyFill="1" applyBorder="1" applyAlignment="1">
      <alignment horizontal="right" vertical="center" wrapText="1" indent="1"/>
    </xf>
    <xf numFmtId="4" fontId="7" fillId="35" borderId="13" xfId="40" applyNumberFormat="1" applyFont="1" applyFill="1" applyBorder="1" applyAlignment="1">
      <alignment horizontal="right" vertical="center" wrapText="1" indent="1"/>
    </xf>
    <xf numFmtId="4" fontId="7" fillId="35" borderId="27" xfId="40" applyNumberFormat="1" applyFont="1" applyFill="1" applyBorder="1" applyAlignment="1">
      <alignment horizontal="right" vertical="center" wrapText="1" indent="1"/>
    </xf>
    <xf numFmtId="4" fontId="3" fillId="0" borderId="13" xfId="40" applyNumberFormat="1" applyFont="1" applyFill="1" applyBorder="1" applyAlignment="1">
      <alignment horizontal="right" vertical="center" wrapText="1" indent="1"/>
    </xf>
    <xf numFmtId="4" fontId="3" fillId="0" borderId="27" xfId="40" applyNumberFormat="1" applyFont="1" applyFill="1" applyBorder="1" applyAlignment="1">
      <alignment horizontal="right" vertical="center" wrapText="1" indent="1"/>
    </xf>
    <xf numFmtId="4" fontId="8" fillId="35" borderId="27" xfId="40" applyNumberFormat="1" applyFont="1" applyFill="1" applyBorder="1" applyAlignment="1">
      <alignment horizontal="right" vertical="center" wrapText="1" indent="1"/>
    </xf>
    <xf numFmtId="4" fontId="8" fillId="0" borderId="0" xfId="40" applyNumberFormat="1" applyFont="1" applyFill="1" applyBorder="1" applyAlignment="1">
      <alignment horizontal="right" vertical="center" wrapText="1" indent="1"/>
    </xf>
    <xf numFmtId="0" fontId="8" fillId="0" borderId="0" xfId="40" applyFont="1" applyFill="1" applyBorder="1" applyAlignment="1">
      <alignment horizontal="center"/>
    </xf>
    <xf numFmtId="0" fontId="3" fillId="0" borderId="0" xfId="0" applyFont="1" applyAlignment="1">
      <alignment horizontal="center"/>
    </xf>
    <xf numFmtId="0" fontId="2" fillId="0" borderId="15" xfId="0"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7" fillId="24" borderId="14" xfId="0" applyNumberFormat="1" applyFont="1" applyFill="1" applyBorder="1" applyAlignment="1">
      <alignment horizontal="right" vertical="center" wrapText="1" indent="1"/>
    </xf>
    <xf numFmtId="4" fontId="8" fillId="35" borderId="13" xfId="0" applyNumberFormat="1" applyFont="1" applyFill="1" applyBorder="1" applyAlignment="1">
      <alignment horizontal="right" vertical="center" wrapText="1" indent="1"/>
    </xf>
    <xf numFmtId="4" fontId="7" fillId="24" borderId="18" xfId="0" applyNumberFormat="1" applyFont="1" applyFill="1" applyBorder="1" applyAlignment="1">
      <alignment horizontal="right" vertical="center" wrapText="1" indent="1"/>
    </xf>
    <xf numFmtId="4" fontId="3" fillId="35" borderId="13" xfId="0" applyNumberFormat="1" applyFont="1" applyFill="1" applyBorder="1" applyAlignment="1">
      <alignment horizontal="center" vertical="center" wrapText="1"/>
    </xf>
    <xf numFmtId="4" fontId="2" fillId="24" borderId="18" xfId="0" applyNumberFormat="1" applyFont="1" applyFill="1" applyBorder="1" applyAlignment="1">
      <alignment horizontal="right" vertical="center" wrapText="1" indent="1"/>
    </xf>
    <xf numFmtId="0" fontId="3" fillId="0" borderId="0" xfId="40" applyFont="1" applyFill="1" applyBorder="1"/>
    <xf numFmtId="0" fontId="8" fillId="0" borderId="0" xfId="40" applyFont="1" applyFill="1" applyBorder="1"/>
    <xf numFmtId="4" fontId="7" fillId="24" borderId="13" xfId="0" applyNumberFormat="1" applyFont="1" applyFill="1" applyBorder="1" applyAlignment="1">
      <alignment horizontal="right" vertical="center" indent="1"/>
    </xf>
    <xf numFmtId="4" fontId="7" fillId="24" borderId="14" xfId="0" applyNumberFormat="1" applyFont="1" applyFill="1" applyBorder="1" applyAlignment="1">
      <alignment horizontal="right" vertical="center" indent="1"/>
    </xf>
    <xf numFmtId="4" fontId="3" fillId="35" borderId="13" xfId="0" applyNumberFormat="1" applyFont="1" applyFill="1" applyBorder="1" applyAlignment="1">
      <alignment vertical="center" wrapText="1"/>
    </xf>
    <xf numFmtId="4" fontId="3" fillId="35" borderId="13" xfId="0" applyNumberFormat="1" applyFont="1" applyFill="1" applyBorder="1" applyAlignment="1">
      <alignment vertical="center"/>
    </xf>
    <xf numFmtId="49" fontId="8" fillId="37" borderId="13" xfId="0" applyNumberFormat="1" applyFont="1" applyFill="1" applyBorder="1" applyAlignment="1">
      <alignment horizontal="left" vertical="center" wrapText="1" indent="1"/>
    </xf>
    <xf numFmtId="49" fontId="7" fillId="48" borderId="13" xfId="0" applyNumberFormat="1" applyFont="1" applyFill="1" applyBorder="1" applyAlignment="1">
      <alignment horizontal="left" vertical="center" wrapText="1" indent="1"/>
    </xf>
    <xf numFmtId="0" fontId="90" fillId="0" borderId="0" xfId="0" applyFont="1" applyFill="1" applyBorder="1" applyAlignment="1">
      <alignment horizontal="left" vertical="center" wrapText="1" indent="1"/>
    </xf>
    <xf numFmtId="0" fontId="3" fillId="37" borderId="0" xfId="0" applyFont="1" applyFill="1"/>
    <xf numFmtId="4" fontId="7" fillId="24" borderId="13" xfId="0" applyNumberFormat="1" applyFont="1" applyFill="1" applyBorder="1" applyAlignment="1">
      <alignment vertical="center" wrapText="1"/>
    </xf>
    <xf numFmtId="49" fontId="89" fillId="0" borderId="13" xfId="0" applyNumberFormat="1" applyFont="1" applyFill="1" applyBorder="1" applyAlignment="1">
      <alignment horizontal="left" vertical="center" indent="1"/>
    </xf>
    <xf numFmtId="49" fontId="89" fillId="37" borderId="13" xfId="0" applyNumberFormat="1" applyFont="1" applyFill="1" applyBorder="1" applyAlignment="1">
      <alignment horizontal="left" vertical="center" indent="1"/>
    </xf>
    <xf numFmtId="49" fontId="3" fillId="0" borderId="19" xfId="0" applyNumberFormat="1" applyFont="1" applyFill="1" applyBorder="1" applyAlignment="1">
      <alignment horizontal="left" vertical="center" wrapText="1" indent="1"/>
    </xf>
    <xf numFmtId="4" fontId="3" fillId="0" borderId="19" xfId="0" applyNumberFormat="1" applyFont="1" applyFill="1" applyBorder="1" applyAlignment="1">
      <alignment vertical="center" wrapText="1"/>
    </xf>
    <xf numFmtId="4" fontId="3" fillId="35" borderId="19" xfId="0" applyNumberFormat="1" applyFont="1" applyFill="1" applyBorder="1" applyAlignment="1">
      <alignment vertical="center" wrapText="1"/>
    </xf>
    <xf numFmtId="4" fontId="7" fillId="24" borderId="17" xfId="0" applyNumberFormat="1" applyFont="1" applyFill="1" applyBorder="1" applyAlignment="1">
      <alignment horizontal="right" vertical="center" indent="1"/>
    </xf>
    <xf numFmtId="4" fontId="7" fillId="24" borderId="18" xfId="0" applyNumberFormat="1" applyFont="1" applyFill="1" applyBorder="1" applyAlignment="1">
      <alignment horizontal="right" vertical="center" indent="1"/>
    </xf>
    <xf numFmtId="4" fontId="3" fillId="0" borderId="0" xfId="0" applyNumberFormat="1" applyFont="1" applyAlignment="1">
      <alignment horizontal="center" vertical="center"/>
    </xf>
    <xf numFmtId="4" fontId="3" fillId="38" borderId="0" xfId="0" applyNumberFormat="1" applyFont="1" applyFill="1" applyAlignment="1">
      <alignment horizontal="right" vertical="center" indent="1"/>
    </xf>
    <xf numFmtId="4" fontId="2"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top" wrapText="1" indent="1"/>
    </xf>
    <xf numFmtId="4" fontId="3" fillId="35" borderId="13" xfId="0" applyNumberFormat="1" applyFont="1" applyFill="1" applyBorder="1" applyAlignment="1">
      <alignment horizontal="right" vertical="center" wrapText="1"/>
    </xf>
    <xf numFmtId="49" fontId="2" fillId="0" borderId="13" xfId="0" applyNumberFormat="1" applyFont="1" applyFill="1" applyBorder="1" applyAlignment="1">
      <alignment horizontal="left" vertical="top" wrapText="1" indent="1"/>
    </xf>
    <xf numFmtId="49" fontId="2" fillId="0" borderId="17" xfId="0" applyNumberFormat="1" applyFont="1" applyFill="1" applyBorder="1" applyAlignment="1">
      <alignment horizontal="left" vertical="top" wrapText="1" indent="1"/>
    </xf>
    <xf numFmtId="49" fontId="108" fillId="0" borderId="13" xfId="0" applyNumberFormat="1" applyFont="1" applyFill="1" applyBorder="1" applyAlignment="1">
      <alignment horizontal="left" vertical="top" wrapText="1" indent="1"/>
    </xf>
    <xf numFmtId="168" fontId="2" fillId="35" borderId="14" xfId="92" applyNumberFormat="1" applyFont="1" applyFill="1" applyBorder="1" applyAlignment="1">
      <alignment horizontal="right" vertical="center" wrapText="1" indent="1"/>
    </xf>
    <xf numFmtId="168" fontId="2" fillId="24" borderId="14" xfId="92" applyNumberFormat="1" applyFont="1" applyFill="1" applyBorder="1" applyAlignment="1">
      <alignment horizontal="right" vertical="center" wrapText="1" indent="1"/>
    </xf>
    <xf numFmtId="168" fontId="8" fillId="35" borderId="14" xfId="92" applyNumberFormat="1" applyFont="1" applyFill="1" applyBorder="1" applyAlignment="1">
      <alignment horizontal="right" vertical="center" wrapText="1" indent="1"/>
    </xf>
    <xf numFmtId="168" fontId="2" fillId="24" borderId="18" xfId="92" applyNumberFormat="1" applyFont="1" applyFill="1" applyBorder="1" applyAlignment="1">
      <alignment horizontal="right" vertical="center" wrapText="1" indent="1"/>
    </xf>
    <xf numFmtId="0" fontId="7" fillId="0" borderId="27" xfId="0" applyFont="1" applyBorder="1" applyAlignment="1">
      <alignment horizontal="left" vertical="center" wrapText="1" indent="1"/>
    </xf>
    <xf numFmtId="0" fontId="3" fillId="0" borderId="82" xfId="0" applyFont="1" applyBorder="1" applyAlignment="1">
      <alignment horizontal="center" vertical="center" wrapText="1"/>
    </xf>
    <xf numFmtId="0" fontId="7" fillId="0" borderId="74" xfId="0" applyFont="1" applyBorder="1" applyAlignment="1">
      <alignment horizontal="left" vertical="center" wrapText="1" indent="1"/>
    </xf>
    <xf numFmtId="4" fontId="7" fillId="24" borderId="71" xfId="0" applyNumberFormat="1" applyFont="1" applyFill="1" applyBorder="1" applyAlignment="1">
      <alignment horizontal="right" vertical="center" wrapText="1" indent="1"/>
    </xf>
    <xf numFmtId="0" fontId="9" fillId="0" borderId="0" xfId="0" applyFont="1" applyBorder="1"/>
    <xf numFmtId="49" fontId="120" fillId="0" borderId="29" xfId="0" applyNumberFormat="1" applyFont="1" applyBorder="1" applyAlignment="1">
      <alignment horizontal="left" indent="1"/>
    </xf>
    <xf numFmtId="166" fontId="120" fillId="0" borderId="29" xfId="0" applyNumberFormat="1" applyFont="1" applyBorder="1" applyAlignment="1">
      <alignment horizontal="center"/>
    </xf>
    <xf numFmtId="4" fontId="120" fillId="35" borderId="29" xfId="0" applyNumberFormat="1" applyFont="1" applyFill="1" applyBorder="1" applyAlignment="1">
      <alignment horizontal="right" vertical="center" wrapText="1" indent="1"/>
    </xf>
    <xf numFmtId="166" fontId="76" fillId="39" borderId="13" xfId="0" applyNumberFormat="1" applyFont="1" applyFill="1" applyBorder="1" applyAlignment="1">
      <alignment vertical="center" wrapText="1"/>
    </xf>
    <xf numFmtId="166" fontId="76" fillId="40" borderId="13" xfId="0" applyNumberFormat="1" applyFont="1" applyFill="1" applyBorder="1" applyAlignment="1">
      <alignment vertical="center" wrapText="1"/>
    </xf>
    <xf numFmtId="166" fontId="76" fillId="35" borderId="13" xfId="0" applyNumberFormat="1" applyFont="1" applyFill="1" applyBorder="1" applyAlignment="1">
      <alignment vertical="center" wrapText="1"/>
    </xf>
    <xf numFmtId="166" fontId="76" fillId="24" borderId="13" xfId="0" applyNumberFormat="1" applyFont="1" applyFill="1" applyBorder="1" applyAlignment="1">
      <alignment vertical="center" wrapText="1"/>
    </xf>
    <xf numFmtId="166" fontId="67" fillId="39" borderId="13" xfId="0" applyNumberFormat="1" applyFont="1" applyFill="1" applyBorder="1" applyAlignment="1">
      <alignment vertical="center" wrapText="1"/>
    </xf>
    <xf numFmtId="166" fontId="67" fillId="35" borderId="13" xfId="0" applyNumberFormat="1" applyFont="1" applyFill="1" applyBorder="1" applyAlignment="1">
      <alignment vertical="center" wrapText="1"/>
    </xf>
    <xf numFmtId="166" fontId="76" fillId="0" borderId="13" xfId="0" applyNumberFormat="1" applyFont="1" applyFill="1" applyBorder="1" applyAlignment="1">
      <alignment horizontal="center" vertical="center" wrapText="1"/>
    </xf>
    <xf numFmtId="166" fontId="67" fillId="39" borderId="13" xfId="0" applyNumberFormat="1" applyFont="1" applyFill="1" applyBorder="1" applyAlignment="1">
      <alignment vertical="top" wrapText="1"/>
    </xf>
    <xf numFmtId="166" fontId="92" fillId="0" borderId="13" xfId="0" applyNumberFormat="1" applyFont="1" applyFill="1" applyBorder="1" applyAlignment="1">
      <alignment horizontal="center" vertical="center" wrapText="1"/>
    </xf>
    <xf numFmtId="166" fontId="93" fillId="39" borderId="13" xfId="0" applyNumberFormat="1" applyFont="1" applyFill="1" applyBorder="1" applyAlignment="1">
      <alignment vertical="center" wrapText="1"/>
    </xf>
    <xf numFmtId="166" fontId="76" fillId="41" borderId="13" xfId="0" applyNumberFormat="1" applyFont="1" applyFill="1" applyBorder="1" applyAlignment="1">
      <alignment horizontal="center" vertical="center" wrapText="1"/>
    </xf>
    <xf numFmtId="166" fontId="92" fillId="41" borderId="13" xfId="0" applyNumberFormat="1" applyFont="1" applyFill="1" applyBorder="1" applyAlignment="1">
      <alignment horizontal="center" vertical="center" wrapText="1"/>
    </xf>
    <xf numFmtId="166" fontId="67" fillId="39" borderId="17" xfId="0" applyNumberFormat="1" applyFont="1" applyFill="1" applyBorder="1" applyAlignment="1">
      <alignment vertical="center"/>
    </xf>
    <xf numFmtId="3" fontId="8" fillId="35" borderId="17" xfId="0" applyNumberFormat="1" applyFont="1" applyFill="1" applyBorder="1" applyAlignment="1">
      <alignment horizontal="right" vertical="center" wrapText="1" indent="1"/>
    </xf>
    <xf numFmtId="166" fontId="67" fillId="35" borderId="17" xfId="0" applyNumberFormat="1" applyFont="1" applyFill="1" applyBorder="1" applyAlignment="1">
      <alignment vertical="center"/>
    </xf>
    <xf numFmtId="4" fontId="3" fillId="0" borderId="0" xfId="0" applyNumberFormat="1" applyFont="1" applyFill="1" applyBorder="1"/>
    <xf numFmtId="0" fontId="29" fillId="35" borderId="14" xfId="0" applyFont="1" applyFill="1" applyBorder="1" applyAlignment="1">
      <alignment horizontal="left" vertical="center" wrapText="1" indent="1"/>
    </xf>
    <xf numFmtId="0" fontId="29" fillId="35" borderId="14" xfId="91" applyFont="1" applyFill="1" applyBorder="1" applyAlignment="1">
      <alignment horizontal="left" vertical="center" wrapText="1" indent="1"/>
    </xf>
    <xf numFmtId="0" fontId="29" fillId="35" borderId="26" xfId="0" applyFont="1" applyFill="1" applyBorder="1" applyAlignment="1">
      <alignment horizontal="left" vertical="center" wrapText="1" indent="1"/>
    </xf>
    <xf numFmtId="3" fontId="8" fillId="35" borderId="20" xfId="93" applyNumberFormat="1" applyFont="1" applyFill="1" applyBorder="1" applyAlignment="1">
      <alignment horizontal="right" vertical="center" wrapText="1" indent="1"/>
    </xf>
    <xf numFmtId="164" fontId="8" fillId="35" borderId="37" xfId="27" applyFont="1" applyFill="1" applyBorder="1" applyAlignment="1">
      <alignment horizontal="right" vertical="center" wrapText="1" indent="1"/>
    </xf>
    <xf numFmtId="164" fontId="2" fillId="24" borderId="45" xfId="27" applyFont="1" applyFill="1" applyBorder="1" applyAlignment="1">
      <alignment horizontal="right" vertical="center" wrapText="1" indent="1"/>
    </xf>
    <xf numFmtId="164" fontId="8" fillId="35" borderId="20" xfId="27" applyFont="1" applyFill="1" applyBorder="1" applyAlignment="1">
      <alignment horizontal="right" vertical="center" wrapText="1" indent="1"/>
    </xf>
    <xf numFmtId="164" fontId="2" fillId="24" borderId="43" xfId="27" applyFont="1" applyFill="1" applyBorder="1" applyAlignment="1">
      <alignment horizontal="right" vertical="center" wrapText="1" indent="1"/>
    </xf>
    <xf numFmtId="164" fontId="8" fillId="35" borderId="35" xfId="27" applyFont="1" applyFill="1" applyBorder="1" applyAlignment="1">
      <alignment horizontal="right" vertical="center" wrapText="1" indent="1"/>
    </xf>
    <xf numFmtId="164" fontId="2" fillId="24" borderId="44" xfId="27" applyFont="1" applyFill="1" applyBorder="1" applyAlignment="1">
      <alignment horizontal="right" vertical="center" wrapText="1" indent="1"/>
    </xf>
    <xf numFmtId="164" fontId="2" fillId="24" borderId="31" xfId="27" applyFont="1" applyFill="1" applyBorder="1" applyAlignment="1">
      <alignment horizontal="right" vertical="center" wrapText="1" indent="1"/>
    </xf>
    <xf numFmtId="164" fontId="2" fillId="24" borderId="53" xfId="27" applyFont="1" applyFill="1" applyBorder="1" applyAlignment="1">
      <alignment horizontal="right" vertical="center" wrapText="1" indent="1"/>
    </xf>
    <xf numFmtId="164" fontId="2" fillId="24" borderId="63" xfId="27" applyFont="1" applyFill="1" applyBorder="1" applyAlignment="1">
      <alignment horizontal="right" vertical="center" wrapText="1" indent="1"/>
    </xf>
    <xf numFmtId="164" fontId="2" fillId="24" borderId="37" xfId="27" applyFont="1" applyFill="1" applyBorder="1" applyAlignment="1">
      <alignment horizontal="right" vertical="center" wrapText="1" indent="1"/>
    </xf>
    <xf numFmtId="164" fontId="2" fillId="24" borderId="20" xfId="27" applyFont="1" applyFill="1" applyBorder="1" applyAlignment="1">
      <alignment horizontal="right" vertical="center" wrapText="1" indent="1"/>
    </xf>
    <xf numFmtId="164" fontId="2" fillId="24" borderId="13" xfId="27" applyFont="1" applyFill="1" applyBorder="1" applyAlignment="1">
      <alignment horizontal="right" vertical="center" wrapText="1" indent="1"/>
    </xf>
    <xf numFmtId="164" fontId="2" fillId="24" borderId="50" xfId="27" applyFont="1" applyFill="1" applyBorder="1" applyAlignment="1">
      <alignment horizontal="right" vertical="center" wrapText="1" indent="1"/>
    </xf>
    <xf numFmtId="164" fontId="8" fillId="35" borderId="13" xfId="27" applyFont="1" applyFill="1" applyBorder="1" applyAlignment="1">
      <alignment horizontal="right" vertical="center" wrapText="1" indent="1"/>
    </xf>
    <xf numFmtId="4" fontId="115" fillId="24" borderId="13" xfId="0" applyNumberFormat="1" applyFont="1" applyFill="1" applyBorder="1" applyAlignment="1">
      <alignment horizontal="right" vertical="center" wrapText="1" indent="1"/>
    </xf>
    <xf numFmtId="4" fontId="3" fillId="35" borderId="38" xfId="0" applyNumberFormat="1" applyFont="1" applyFill="1" applyBorder="1" applyAlignment="1">
      <alignment horizontal="right" vertical="center" wrapText="1" indent="1"/>
    </xf>
    <xf numFmtId="4" fontId="8" fillId="35" borderId="38" xfId="0" applyNumberFormat="1" applyFont="1" applyFill="1" applyBorder="1" applyAlignment="1">
      <alignment horizontal="right" vertical="center" wrapText="1" indent="1"/>
    </xf>
    <xf numFmtId="4" fontId="7" fillId="24" borderId="38" xfId="0" applyNumberFormat="1" applyFont="1" applyFill="1" applyBorder="1" applyAlignment="1">
      <alignment horizontal="right" vertical="center" wrapText="1" indent="1"/>
    </xf>
    <xf numFmtId="4" fontId="2" fillId="35" borderId="39" xfId="0" applyNumberFormat="1" applyFont="1" applyFill="1" applyBorder="1" applyAlignment="1">
      <alignment horizontal="right" vertical="center" wrapText="1" indent="1"/>
    </xf>
    <xf numFmtId="3" fontId="84" fillId="0" borderId="0" xfId="45" applyNumberFormat="1" applyFont="1" applyBorder="1" applyAlignment="1">
      <alignment vertical="center" wrapText="1"/>
    </xf>
    <xf numFmtId="0" fontId="6" fillId="0" borderId="12" xfId="0" applyFont="1" applyBorder="1"/>
    <xf numFmtId="3" fontId="121" fillId="37" borderId="0" xfId="93" applyNumberFormat="1" applyFont="1" applyFill="1" applyBorder="1" applyAlignment="1">
      <alignment horizontal="right" vertical="center" wrapText="1" indent="1"/>
    </xf>
    <xf numFmtId="0" fontId="0" fillId="0" borderId="12" xfId="0" applyBorder="1"/>
    <xf numFmtId="4" fontId="0" fillId="0" borderId="0" xfId="0" applyNumberFormat="1"/>
    <xf numFmtId="3" fontId="121" fillId="37" borderId="0" xfId="93" applyNumberFormat="1" applyFont="1" applyFill="1" applyBorder="1" applyAlignment="1">
      <alignment horizontal="right" vertical="center" indent="1"/>
    </xf>
    <xf numFmtId="0" fontId="8" fillId="0" borderId="20" xfId="0" applyFont="1" applyFill="1" applyBorder="1" applyAlignment="1">
      <alignment horizontal="left" vertical="top" wrapText="1" indent="1"/>
    </xf>
    <xf numFmtId="165" fontId="82" fillId="0" borderId="0" xfId="41" applyNumberFormat="1"/>
    <xf numFmtId="166" fontId="82" fillId="0" borderId="0" xfId="41" applyNumberFormat="1"/>
    <xf numFmtId="4" fontId="29" fillId="0" borderId="0" xfId="0" applyNumberFormat="1" applyFont="1" applyBorder="1" applyAlignment="1">
      <alignment horizontal="left" vertical="center"/>
    </xf>
    <xf numFmtId="3" fontId="8" fillId="37" borderId="0" xfId="45" applyNumberFormat="1" applyFont="1" applyFill="1" applyBorder="1" applyAlignment="1">
      <alignment vertical="center" wrapText="1"/>
    </xf>
    <xf numFmtId="4" fontId="29" fillId="37" borderId="0" xfId="0" applyNumberFormat="1" applyFont="1" applyFill="1" applyBorder="1" applyAlignment="1">
      <alignment horizontal="left" vertical="center"/>
    </xf>
    <xf numFmtId="169" fontId="3" fillId="35" borderId="13" xfId="27" applyNumberFormat="1" applyFont="1" applyFill="1" applyBorder="1" applyAlignment="1">
      <alignment horizontal="right" vertical="center" wrapText="1" indent="1"/>
    </xf>
    <xf numFmtId="169" fontId="3" fillId="37" borderId="13" xfId="27" applyNumberFormat="1" applyFont="1" applyFill="1" applyBorder="1" applyAlignment="1">
      <alignment horizontal="right" vertical="center" wrapText="1" indent="1"/>
    </xf>
    <xf numFmtId="3" fontId="3" fillId="35" borderId="13" xfId="27" applyNumberFormat="1" applyFont="1" applyFill="1" applyBorder="1" applyAlignment="1">
      <alignment horizontal="right" vertical="center" wrapText="1" indent="1"/>
    </xf>
    <xf numFmtId="3" fontId="3" fillId="0" borderId="23" xfId="0" applyNumberFormat="1" applyFont="1" applyBorder="1" applyAlignment="1">
      <alignment vertical="center" wrapText="1"/>
    </xf>
    <xf numFmtId="3" fontId="3" fillId="0" borderId="25" xfId="0" applyNumberFormat="1" applyFont="1" applyBorder="1" applyAlignment="1">
      <alignment vertical="center" wrapText="1"/>
    </xf>
    <xf numFmtId="3" fontId="3" fillId="0" borderId="24" xfId="0" applyNumberFormat="1" applyFont="1" applyBorder="1" applyAlignment="1">
      <alignment vertical="center" wrapText="1"/>
    </xf>
    <xf numFmtId="3" fontId="3" fillId="0" borderId="15"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4"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7" xfId="0" applyNumberFormat="1" applyFont="1" applyBorder="1" applyAlignment="1">
      <alignment vertical="center" wrapText="1"/>
    </xf>
    <xf numFmtId="3" fontId="3" fillId="0" borderId="18" xfId="0" applyNumberFormat="1" applyFont="1" applyBorder="1" applyAlignment="1">
      <alignment vertical="center" wrapText="1"/>
    </xf>
    <xf numFmtId="3" fontId="3" fillId="37" borderId="13" xfId="27" applyNumberFormat="1" applyFont="1" applyFill="1" applyBorder="1" applyAlignment="1">
      <alignment horizontal="right" vertical="center" wrapText="1" indent="1"/>
    </xf>
    <xf numFmtId="1" fontId="90" fillId="0" borderId="15" xfId="0" applyNumberFormat="1" applyFont="1" applyBorder="1" applyAlignment="1">
      <alignment vertical="center" wrapText="1"/>
    </xf>
    <xf numFmtId="1" fontId="90" fillId="0" borderId="13" xfId="0" applyNumberFormat="1" applyFont="1" applyBorder="1" applyAlignment="1">
      <alignment vertical="center" wrapText="1"/>
    </xf>
    <xf numFmtId="1" fontId="90" fillId="0" borderId="14" xfId="0" applyNumberFormat="1" applyFont="1" applyBorder="1" applyAlignment="1">
      <alignment vertical="center" wrapText="1"/>
    </xf>
    <xf numFmtId="1" fontId="90" fillId="0" borderId="16" xfId="0" applyNumberFormat="1" applyFont="1" applyBorder="1" applyAlignment="1">
      <alignment vertical="center" wrapText="1"/>
    </xf>
    <xf numFmtId="1" fontId="90" fillId="0" borderId="17" xfId="0" applyNumberFormat="1" applyFont="1" applyBorder="1" applyAlignment="1">
      <alignment vertical="center" wrapText="1"/>
    </xf>
    <xf numFmtId="1" fontId="90" fillId="0" borderId="18" xfId="0" applyNumberFormat="1" applyFont="1" applyBorder="1" applyAlignment="1">
      <alignment vertical="center" wrapText="1"/>
    </xf>
    <xf numFmtId="1" fontId="90" fillId="0" borderId="23" xfId="0" applyNumberFormat="1" applyFont="1" applyBorder="1" applyAlignment="1">
      <alignment vertical="center" wrapText="1"/>
    </xf>
    <xf numFmtId="1" fontId="90" fillId="0" borderId="25" xfId="0" applyNumberFormat="1" applyFont="1" applyBorder="1" applyAlignment="1">
      <alignment vertical="center" wrapText="1"/>
    </xf>
    <xf numFmtId="1" fontId="90" fillId="0" borderId="24" xfId="0" applyNumberFormat="1" applyFont="1" applyBorder="1" applyAlignment="1">
      <alignment vertical="center" wrapText="1"/>
    </xf>
    <xf numFmtId="164" fontId="2" fillId="24" borderId="56" xfId="27" applyFont="1" applyFill="1" applyBorder="1" applyAlignment="1">
      <alignment horizontal="right" vertical="center" wrapText="1" indent="1"/>
    </xf>
    <xf numFmtId="164" fontId="8" fillId="35" borderId="19" xfId="27" applyFont="1" applyFill="1" applyBorder="1" applyAlignment="1">
      <alignment horizontal="right" vertical="center" wrapText="1" indent="1"/>
    </xf>
    <xf numFmtId="164" fontId="2" fillId="24" borderId="62" xfId="27" applyFont="1" applyFill="1" applyBorder="1" applyAlignment="1">
      <alignment horizontal="right" vertical="center" wrapText="1" indent="1"/>
    </xf>
    <xf numFmtId="164" fontId="2" fillId="24" borderId="36" xfId="27" applyFont="1" applyFill="1" applyBorder="1" applyAlignment="1">
      <alignment horizontal="right" vertical="center" wrapText="1" indent="1"/>
    </xf>
    <xf numFmtId="4" fontId="3" fillId="24" borderId="13" xfId="91" applyNumberFormat="1" applyFont="1" applyFill="1" applyBorder="1" applyAlignment="1">
      <alignment horizontal="right" vertical="center" wrapText="1" indent="1"/>
    </xf>
    <xf numFmtId="4" fontId="7" fillId="24" borderId="13" xfId="91" applyNumberFormat="1" applyFont="1" applyFill="1" applyBorder="1" applyAlignment="1">
      <alignment horizontal="right" vertical="center" wrapText="1" indent="1"/>
    </xf>
    <xf numFmtId="4" fontId="7" fillId="24" borderId="17" xfId="91" applyNumberFormat="1" applyFont="1" applyFill="1" applyBorder="1" applyAlignment="1">
      <alignment horizontal="right" vertical="center" wrapText="1" indent="1"/>
    </xf>
    <xf numFmtId="4" fontId="3" fillId="24" borderId="38" xfId="91" applyNumberFormat="1" applyFont="1" applyFill="1" applyBorder="1" applyAlignment="1">
      <alignment horizontal="right" vertical="center" wrapText="1" indent="1"/>
    </xf>
    <xf numFmtId="0" fontId="3" fillId="0" borderId="13" xfId="91" applyFont="1" applyBorder="1" applyAlignment="1">
      <alignment horizontal="left" vertical="top" wrapText="1" indent="1"/>
    </xf>
    <xf numFmtId="4" fontId="3" fillId="35" borderId="13" xfId="91" applyNumberFormat="1" applyFont="1" applyFill="1" applyBorder="1" applyAlignment="1">
      <alignment horizontal="right" vertical="center" wrapText="1" indent="1"/>
    </xf>
    <xf numFmtId="4" fontId="3" fillId="49" borderId="13" xfId="91" applyNumberFormat="1" applyFont="1" applyFill="1" applyBorder="1" applyAlignment="1">
      <alignment horizontal="right" vertical="center" wrapText="1" indent="1"/>
    </xf>
    <xf numFmtId="0" fontId="3" fillId="0" borderId="15" xfId="91" applyFont="1" applyBorder="1" applyAlignment="1">
      <alignment horizontal="center" vertical="center"/>
    </xf>
    <xf numFmtId="0" fontId="8" fillId="0" borderId="13" xfId="91" applyFont="1" applyBorder="1" applyAlignment="1">
      <alignment horizontal="left" vertical="top" wrapText="1" indent="1"/>
    </xf>
    <xf numFmtId="4" fontId="8" fillId="35" borderId="13" xfId="91" applyNumberFormat="1" applyFont="1" applyFill="1" applyBorder="1" applyAlignment="1">
      <alignment horizontal="right" vertical="center" wrapText="1" indent="1"/>
    </xf>
    <xf numFmtId="4" fontId="3" fillId="0" borderId="13" xfId="0" applyNumberFormat="1" applyFont="1" applyBorder="1" applyAlignment="1">
      <alignment horizontal="left" vertical="top" wrapText="1" indent="1"/>
    </xf>
    <xf numFmtId="4" fontId="111" fillId="0" borderId="0" xfId="0" applyNumberFormat="1" applyFont="1" applyFill="1" applyBorder="1" applyAlignment="1">
      <alignment vertical="center"/>
    </xf>
    <xf numFmtId="3" fontId="8" fillId="0" borderId="0" xfId="45" applyNumberFormat="1" applyFont="1" applyBorder="1" applyAlignment="1">
      <alignment horizontal="right" vertical="center" wrapText="1"/>
    </xf>
    <xf numFmtId="3" fontId="105" fillId="0" borderId="0" xfId="45" applyNumberFormat="1" applyFont="1" applyBorder="1" applyAlignment="1">
      <alignment horizontal="right" vertical="center" wrapText="1"/>
    </xf>
    <xf numFmtId="0" fontId="86" fillId="0" borderId="0" xfId="0" applyFont="1" applyAlignment="1">
      <alignment vertical="center" wrapText="1"/>
    </xf>
    <xf numFmtId="3" fontId="3" fillId="0" borderId="0" xfId="0" applyNumberFormat="1" applyFont="1" applyFill="1" applyBorder="1"/>
    <xf numFmtId="4" fontId="24" fillId="0" borderId="0" xfId="0" applyNumberFormat="1" applyFont="1" applyFill="1" applyBorder="1" applyAlignment="1">
      <alignment vertical="center"/>
    </xf>
    <xf numFmtId="4" fontId="7" fillId="35" borderId="78" xfId="0" applyNumberFormat="1" applyFont="1" applyFill="1" applyBorder="1" applyAlignment="1">
      <alignment horizontal="right" vertical="center" wrapText="1" indent="1"/>
    </xf>
    <xf numFmtId="4" fontId="7" fillId="24" borderId="79" xfId="0" applyNumberFormat="1" applyFont="1" applyFill="1" applyBorder="1" applyAlignment="1">
      <alignment horizontal="right" vertical="center" wrapText="1" indent="1"/>
    </xf>
    <xf numFmtId="4" fontId="7" fillId="35" borderId="81" xfId="0" applyNumberFormat="1" applyFont="1" applyFill="1" applyBorder="1" applyAlignment="1">
      <alignment horizontal="right" vertical="center" wrapText="1" indent="1"/>
    </xf>
    <xf numFmtId="4" fontId="7" fillId="24" borderId="80" xfId="0" applyNumberFormat="1" applyFont="1" applyFill="1" applyBorder="1" applyAlignment="1">
      <alignment horizontal="right" vertical="center" wrapText="1" indent="1"/>
    </xf>
    <xf numFmtId="0" fontId="113" fillId="0" borderId="0" xfId="41" applyFont="1"/>
    <xf numFmtId="4" fontId="3" fillId="49" borderId="13" xfId="0" applyNumberFormat="1" applyFont="1" applyFill="1" applyBorder="1" applyAlignment="1">
      <alignment horizontal="right" vertical="center" wrapText="1" indent="1"/>
    </xf>
    <xf numFmtId="0" fontId="7" fillId="37" borderId="0" xfId="0" applyFont="1" applyFill="1" applyAlignment="1">
      <alignment vertical="center" wrapText="1"/>
    </xf>
    <xf numFmtId="0" fontId="7" fillId="37" borderId="0" xfId="0" applyFont="1" applyFill="1" applyAlignment="1">
      <alignment horizontal="center" vertical="center"/>
    </xf>
    <xf numFmtId="0" fontId="8" fillId="37" borderId="0" xfId="0" applyFont="1" applyFill="1" applyAlignment="1">
      <alignment vertical="center" wrapText="1"/>
    </xf>
    <xf numFmtId="0" fontId="8" fillId="0" borderId="52" xfId="0" applyFont="1" applyBorder="1" applyAlignment="1">
      <alignment wrapText="1"/>
    </xf>
    <xf numFmtId="0" fontId="8" fillId="0" borderId="27" xfId="0" applyFont="1" applyBorder="1" applyAlignment="1">
      <alignment wrapText="1"/>
    </xf>
    <xf numFmtId="0" fontId="8" fillId="0" borderId="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8" fillId="0" borderId="27" xfId="0" applyFont="1" applyBorder="1" applyAlignment="1">
      <alignment horizontal="left" wrapText="1"/>
    </xf>
    <xf numFmtId="0" fontId="8" fillId="0" borderId="23" xfId="35" applyFont="1" applyBorder="1" applyAlignment="1" applyProtection="1">
      <alignment horizontal="left" vertical="center" indent="1"/>
    </xf>
    <xf numFmtId="0" fontId="8" fillId="0" borderId="59" xfId="35" applyFont="1" applyBorder="1" applyAlignment="1" applyProtection="1">
      <alignment horizontal="left" vertical="center" indent="1"/>
    </xf>
    <xf numFmtId="0" fontId="11" fillId="46" borderId="64" xfId="0" applyFont="1" applyFill="1" applyBorder="1" applyAlignment="1">
      <alignment horizontal="center" vertical="center" wrapText="1"/>
    </xf>
    <xf numFmtId="0" fontId="75" fillId="46" borderId="65" xfId="0" applyFont="1" applyFill="1" applyBorder="1" applyAlignment="1">
      <alignment horizontal="center" vertical="center" wrapText="1"/>
    </xf>
    <xf numFmtId="0" fontId="75" fillId="46" borderId="66"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62"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4" fillId="0" borderId="30" xfId="0" applyFont="1" applyBorder="1" applyAlignment="1">
      <alignment horizontal="center" vertical="center" wrapText="1"/>
    </xf>
    <xf numFmtId="0" fontId="71" fillId="0" borderId="31" xfId="0" applyFont="1" applyBorder="1"/>
    <xf numFmtId="0" fontId="71" fillId="0" borderId="36" xfId="0" applyFont="1" applyBorder="1"/>
    <xf numFmtId="0" fontId="7" fillId="0" borderId="73"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54" xfId="0" applyFont="1" applyBorder="1" applyAlignment="1">
      <alignment horizontal="left" vertical="center" wrapText="1" inden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6" xfId="0" applyFont="1" applyBorder="1" applyAlignment="1">
      <alignment horizontal="center" vertical="center" wrapText="1"/>
    </xf>
    <xf numFmtId="0" fontId="7" fillId="0" borderId="22"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4" xfId="0" applyFont="1" applyBorder="1" applyAlignment="1">
      <alignment horizontal="left" vertical="center" wrapText="1" inden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7" fillId="0" borderId="60" xfId="0" applyFont="1" applyBorder="1" applyAlignment="1">
      <alignment horizontal="left" vertical="center" wrapText="1" indent="1"/>
    </xf>
    <xf numFmtId="0" fontId="7" fillId="0" borderId="70" xfId="0" applyFont="1" applyBorder="1" applyAlignment="1">
      <alignment horizontal="left" vertical="center" wrapText="1" indent="1"/>
    </xf>
    <xf numFmtId="0" fontId="7" fillId="0" borderId="41" xfId="0" applyFont="1" applyBorder="1" applyAlignment="1">
      <alignment horizontal="left" vertical="center" wrapText="1" indent="1"/>
    </xf>
    <xf numFmtId="0" fontId="4" fillId="0" borderId="13" xfId="0" applyFont="1" applyBorder="1" applyAlignment="1">
      <alignment horizontal="center" vertical="center"/>
    </xf>
    <xf numFmtId="0" fontId="90" fillId="0" borderId="23" xfId="0" applyFont="1" applyBorder="1" applyAlignment="1">
      <alignment horizontal="center" vertical="center" wrapText="1"/>
    </xf>
    <xf numFmtId="0" fontId="90" fillId="0" borderId="15" xfId="0" applyFont="1" applyBorder="1" applyAlignment="1">
      <alignment horizontal="center" vertical="center" wrapText="1"/>
    </xf>
    <xf numFmtId="0" fontId="90" fillId="0" borderId="16"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13"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24" xfId="0" applyFont="1" applyBorder="1" applyAlignment="1">
      <alignment horizontal="center" vertical="center" wrapText="1"/>
    </xf>
    <xf numFmtId="0" fontId="90" fillId="0" borderId="14" xfId="0" applyFont="1" applyBorder="1" applyAlignment="1">
      <alignment horizontal="center" vertical="center" wrapText="1"/>
    </xf>
    <xf numFmtId="0" fontId="90"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3" xfId="0" applyFont="1" applyBorder="1" applyAlignment="1">
      <alignment horizontal="center" vertical="center" wrapText="1"/>
    </xf>
    <xf numFmtId="0" fontId="87" fillId="0" borderId="0" xfId="0" applyFont="1" applyAlignment="1">
      <alignment horizontal="left" vertical="center" wrapText="1"/>
    </xf>
    <xf numFmtId="0" fontId="2" fillId="0" borderId="13" xfId="0" applyFont="1" applyBorder="1" applyAlignment="1">
      <alignment horizontal="center" vertical="center" wrapText="1"/>
    </xf>
    <xf numFmtId="49" fontId="8" fillId="0" borderId="20" xfId="0" applyNumberFormat="1" applyFont="1" applyBorder="1" applyAlignment="1">
      <alignment horizontal="left"/>
    </xf>
    <xf numFmtId="49" fontId="8" fillId="0" borderId="52" xfId="0" applyNumberFormat="1" applyFont="1" applyBorder="1" applyAlignment="1">
      <alignment horizontal="left"/>
    </xf>
    <xf numFmtId="49" fontId="8" fillId="0" borderId="27" xfId="0" applyNumberFormat="1" applyFont="1" applyBorder="1" applyAlignment="1">
      <alignment horizontal="left"/>
    </xf>
    <xf numFmtId="49" fontId="2" fillId="0" borderId="13" xfId="0" applyNumberFormat="1"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07" fillId="0" borderId="12" xfId="0" applyFont="1" applyBorder="1" applyAlignment="1">
      <alignment horizontal="center" vertical="center" wrapText="1"/>
    </xf>
    <xf numFmtId="0" fontId="107" fillId="0" borderId="0" xfId="0" applyFont="1" applyBorder="1" applyAlignment="1">
      <alignment horizontal="center" vertical="center" wrapText="1"/>
    </xf>
    <xf numFmtId="49" fontId="89" fillId="0" borderId="29" xfId="0" applyNumberFormat="1" applyFont="1" applyBorder="1" applyAlignment="1">
      <alignment horizontal="center" vertical="center" wrapText="1"/>
    </xf>
    <xf numFmtId="49" fontId="89" fillId="0" borderId="13" xfId="0" applyNumberFormat="1" applyFont="1" applyBorder="1" applyAlignment="1">
      <alignment horizontal="center" vertical="center" wrapText="1"/>
    </xf>
    <xf numFmtId="0" fontId="83" fillId="0" borderId="12" xfId="40" applyFont="1" applyBorder="1" applyAlignment="1">
      <alignment horizontal="center" vertical="center" wrapText="1"/>
    </xf>
    <xf numFmtId="0" fontId="83" fillId="0" borderId="73" xfId="40" applyFont="1" applyBorder="1" applyAlignment="1">
      <alignment horizontal="center" vertical="center" wrapText="1"/>
    </xf>
    <xf numFmtId="49" fontId="3" fillId="0" borderId="27" xfId="0" applyNumberFormat="1" applyFont="1" applyBorder="1" applyAlignment="1">
      <alignment horizontal="left"/>
    </xf>
    <xf numFmtId="0" fontId="89" fillId="0" borderId="56" xfId="40" applyFont="1" applyBorder="1" applyAlignment="1">
      <alignment horizontal="center" vertical="center" wrapText="1"/>
    </xf>
    <xf numFmtId="0" fontId="89" fillId="0" borderId="45" xfId="40" applyFont="1" applyBorder="1" applyAlignment="1">
      <alignment horizontal="center" vertical="center" wrapText="1"/>
    </xf>
    <xf numFmtId="0" fontId="7" fillId="0" borderId="62" xfId="41" applyFont="1" applyBorder="1" applyAlignment="1">
      <alignment horizontal="center" vertical="center"/>
    </xf>
    <xf numFmtId="0" fontId="7" fillId="0" borderId="57" xfId="41" applyFont="1" applyBorder="1" applyAlignment="1">
      <alignment horizontal="center" vertical="center"/>
    </xf>
    <xf numFmtId="0" fontId="7" fillId="0" borderId="58" xfId="41" applyFont="1" applyBorder="1" applyAlignment="1">
      <alignment horizontal="center" vertical="center"/>
    </xf>
    <xf numFmtId="0" fontId="83" fillId="0" borderId="64" xfId="41" applyFont="1" applyBorder="1" applyAlignment="1">
      <alignment horizontal="left" vertical="center" wrapText="1" indent="1"/>
    </xf>
    <xf numFmtId="0" fontId="83" fillId="0" borderId="65" xfId="41" applyFont="1" applyBorder="1" applyAlignment="1">
      <alignment horizontal="left" vertical="center" wrapText="1" indent="1"/>
    </xf>
    <xf numFmtId="0" fontId="83" fillId="0" borderId="66" xfId="41" applyFont="1" applyBorder="1" applyAlignment="1">
      <alignment horizontal="left" vertical="center" wrapText="1" indent="1"/>
    </xf>
    <xf numFmtId="0" fontId="108" fillId="0" borderId="0" xfId="41" applyFont="1" applyBorder="1" applyAlignment="1">
      <alignment horizontal="left" wrapText="1"/>
    </xf>
    <xf numFmtId="0" fontId="24" fillId="0" borderId="35" xfId="0" applyFont="1" applyBorder="1" applyAlignment="1">
      <alignment horizontal="left" vertical="center"/>
    </xf>
    <xf numFmtId="0" fontId="24" fillId="0" borderId="46" xfId="0" applyFont="1" applyBorder="1" applyAlignment="1">
      <alignment horizontal="left" vertical="center"/>
    </xf>
    <xf numFmtId="0" fontId="24" fillId="0" borderId="47" xfId="0" applyFont="1" applyBorder="1" applyAlignment="1">
      <alignment horizontal="left" vertical="center"/>
    </xf>
    <xf numFmtId="0" fontId="24" fillId="0" borderId="37" xfId="0" applyFont="1" applyBorder="1" applyAlignment="1">
      <alignment horizontal="left" vertical="center"/>
    </xf>
    <xf numFmtId="0" fontId="24" fillId="0" borderId="50" xfId="0" applyFont="1" applyBorder="1" applyAlignment="1">
      <alignment horizontal="left" vertical="center"/>
    </xf>
    <xf numFmtId="0" fontId="24" fillId="0" borderId="32" xfId="0" applyFont="1" applyBorder="1" applyAlignment="1">
      <alignment horizontal="left" vertical="center"/>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40" xfId="0" applyFont="1" applyBorder="1" applyAlignment="1">
      <alignment horizontal="left" vertical="center" wrapText="1" indent="1"/>
    </xf>
    <xf numFmtId="0" fontId="7" fillId="0" borderId="70" xfId="0" applyFont="1" applyBorder="1" applyAlignment="1">
      <alignment horizontal="center" vertical="center" wrapText="1"/>
    </xf>
    <xf numFmtId="0" fontId="7" fillId="0" borderId="41" xfId="0" applyFont="1" applyBorder="1" applyAlignment="1">
      <alignment horizontal="center" vertical="center" wrapText="1"/>
    </xf>
    <xf numFmtId="0" fontId="24" fillId="0" borderId="37" xfId="0" applyFont="1" applyBorder="1" applyAlignment="1">
      <alignment horizontal="left" vertical="center" wrapText="1"/>
    </xf>
    <xf numFmtId="0" fontId="24" fillId="0" borderId="50" xfId="0" applyFont="1" applyBorder="1" applyAlignment="1">
      <alignment horizontal="left" vertical="center" wrapText="1"/>
    </xf>
    <xf numFmtId="0" fontId="24"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61" xfId="0" applyFont="1" applyBorder="1" applyAlignment="1">
      <alignment horizontal="left" vertical="center" wrapText="1" indent="1"/>
    </xf>
    <xf numFmtId="0" fontId="7" fillId="0" borderId="52" xfId="0" applyFont="1" applyBorder="1" applyAlignment="1">
      <alignment horizontal="left" vertical="center" wrapText="1" indent="1"/>
    </xf>
    <xf numFmtId="0" fontId="24" fillId="0" borderId="37" xfId="40" applyFont="1" applyBorder="1" applyAlignment="1">
      <alignment horizontal="left" vertical="center"/>
    </xf>
    <xf numFmtId="0" fontId="24" fillId="0" borderId="50" xfId="40" applyFont="1" applyBorder="1" applyAlignment="1">
      <alignment horizontal="left" vertical="center"/>
    </xf>
    <xf numFmtId="0" fontId="24" fillId="0" borderId="32" xfId="40" applyFont="1" applyBorder="1" applyAlignment="1">
      <alignment horizontal="left" vertical="center"/>
    </xf>
    <xf numFmtId="0" fontId="4" fillId="0" borderId="67" xfId="40" applyFont="1" applyBorder="1" applyAlignment="1">
      <alignment horizontal="center" vertical="center" wrapText="1"/>
    </xf>
    <xf numFmtId="0" fontId="4" fillId="0" borderId="68" xfId="40" applyFont="1" applyBorder="1" applyAlignment="1">
      <alignment horizontal="center" vertical="center"/>
    </xf>
    <xf numFmtId="0" fontId="4" fillId="0" borderId="69" xfId="40" applyFont="1" applyBorder="1" applyAlignment="1">
      <alignment horizontal="center" vertical="center"/>
    </xf>
    <xf numFmtId="0" fontId="7" fillId="0" borderId="23" xfId="40" applyFont="1" applyBorder="1" applyAlignment="1">
      <alignment horizontal="left" vertical="center" wrapText="1" indent="1"/>
    </xf>
    <xf numFmtId="0" fontId="7" fillId="0" borderId="25" xfId="40" applyFont="1" applyBorder="1" applyAlignment="1">
      <alignment horizontal="left" vertical="center" wrapText="1" indent="1"/>
    </xf>
    <xf numFmtId="0" fontId="7" fillId="0" borderId="24" xfId="40" applyFont="1" applyBorder="1" applyAlignment="1">
      <alignment horizontal="left" vertical="center" wrapText="1" indent="1"/>
    </xf>
    <xf numFmtId="0" fontId="24" fillId="0" borderId="35" xfId="40" applyFont="1" applyBorder="1" applyAlignment="1">
      <alignment horizontal="left" vertical="center"/>
    </xf>
    <xf numFmtId="0" fontId="24" fillId="0" borderId="46" xfId="40" applyFont="1" applyBorder="1" applyAlignment="1">
      <alignment horizontal="left" vertical="center"/>
    </xf>
    <xf numFmtId="0" fontId="24" fillId="0" borderId="47" xfId="40" applyFont="1" applyBorder="1" applyAlignment="1">
      <alignment horizontal="left" vertical="center"/>
    </xf>
    <xf numFmtId="0" fontId="24" fillId="36" borderId="48" xfId="40" applyFont="1" applyFill="1" applyBorder="1" applyAlignment="1">
      <alignment horizontal="left" vertical="center"/>
    </xf>
    <xf numFmtId="0" fontId="24" fillId="36" borderId="0" xfId="40" applyFont="1" applyFill="1" applyBorder="1" applyAlignment="1">
      <alignment horizontal="left" vertical="center"/>
    </xf>
    <xf numFmtId="0" fontId="24" fillId="36" borderId="49" xfId="40" applyFont="1" applyFill="1" applyBorder="1" applyAlignment="1">
      <alignment horizontal="left" vertical="center"/>
    </xf>
    <xf numFmtId="0" fontId="24" fillId="0" borderId="48" xfId="40" applyFont="1" applyBorder="1" applyAlignment="1">
      <alignment horizontal="left" vertical="center"/>
    </xf>
    <xf numFmtId="0" fontId="24" fillId="0" borderId="0" xfId="40" applyFont="1" applyBorder="1" applyAlignment="1">
      <alignment horizontal="left" vertical="center"/>
    </xf>
    <xf numFmtId="0" fontId="24" fillId="0" borderId="49" xfId="40" applyFont="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6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49" fontId="2" fillId="36" borderId="34" xfId="0" applyNumberFormat="1" applyFont="1" applyFill="1" applyBorder="1" applyAlignment="1">
      <alignment horizontal="center" vertical="center" wrapText="1"/>
    </xf>
    <xf numFmtId="49" fontId="2" fillId="36" borderId="14" xfId="0" applyNumberFormat="1" applyFont="1" applyFill="1" applyBorder="1" applyAlignment="1">
      <alignment horizontal="center" vertical="center" wrapText="1"/>
    </xf>
    <xf numFmtId="49" fontId="2" fillId="36" borderId="29" xfId="0" applyNumberFormat="1" applyFont="1" applyFill="1" applyBorder="1" applyAlignment="1">
      <alignment horizontal="center" vertical="center" wrapText="1"/>
    </xf>
    <xf numFmtId="49" fontId="2" fillId="36"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4" fillId="0" borderId="0" xfId="0" applyFont="1" applyFill="1" applyBorder="1" applyAlignment="1">
      <alignment horizontal="left" wrapText="1"/>
    </xf>
    <xf numFmtId="0" fontId="4" fillId="0" borderId="6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7" fillId="0" borderId="60" xfId="0" applyFont="1" applyFill="1" applyBorder="1" applyAlignment="1">
      <alignment horizontal="left" vertical="center" wrapText="1" indent="1"/>
    </xf>
    <xf numFmtId="0" fontId="7" fillId="0" borderId="70" xfId="0" applyFont="1" applyFill="1" applyBorder="1" applyAlignment="1">
      <alignment horizontal="left" vertical="center" wrapText="1" indent="1"/>
    </xf>
    <xf numFmtId="0" fontId="7" fillId="0" borderId="65"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76"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89"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1" fillId="0" borderId="62"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4" fillId="0" borderId="30" xfId="43" applyFont="1" applyBorder="1" applyAlignment="1">
      <alignment horizontal="center" vertical="center" wrapText="1"/>
    </xf>
    <xf numFmtId="0" fontId="4" fillId="0" borderId="31" xfId="43" applyFont="1" applyBorder="1" applyAlignment="1">
      <alignment horizontal="center" vertical="center" wrapText="1"/>
    </xf>
    <xf numFmtId="0" fontId="4" fillId="0" borderId="36" xfId="43" applyFont="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96" fillId="0" borderId="46" xfId="0" applyFont="1" applyBorder="1" applyAlignment="1">
      <alignment horizontal="left" vertical="center" wrapText="1"/>
    </xf>
    <xf numFmtId="0" fontId="29" fillId="0" borderId="35" xfId="0" applyFont="1" applyBorder="1" applyAlignment="1">
      <alignment horizontal="left" vertical="center"/>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29" fillId="0" borderId="37" xfId="0" applyFont="1" applyBorder="1" applyAlignment="1">
      <alignment horizontal="left" vertical="center"/>
    </xf>
    <xf numFmtId="0" fontId="29" fillId="0" borderId="50" xfId="0" applyFont="1" applyBorder="1" applyAlignment="1">
      <alignment horizontal="left" vertical="center"/>
    </xf>
    <xf numFmtId="0" fontId="29" fillId="0" borderId="32" xfId="0" applyFont="1" applyBorder="1" applyAlignment="1">
      <alignment horizontal="left" vertical="center"/>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68" xfId="40" applyFont="1" applyBorder="1" applyAlignment="1">
      <alignment horizontal="center" vertical="center" wrapText="1"/>
    </xf>
    <xf numFmtId="0" fontId="4" fillId="0" borderId="72" xfId="40" applyFont="1" applyBorder="1" applyAlignment="1">
      <alignment horizontal="center" vertical="center" wrapText="1"/>
    </xf>
    <xf numFmtId="0" fontId="4" fillId="0" borderId="69" xfId="40" applyFont="1" applyBorder="1" applyAlignment="1">
      <alignment horizontal="center" vertical="center" wrapText="1"/>
    </xf>
    <xf numFmtId="0" fontId="7" fillId="0" borderId="67" xfId="40" applyFont="1" applyBorder="1" applyAlignment="1">
      <alignment horizontal="left" vertical="center" wrapText="1" indent="1"/>
    </xf>
    <xf numFmtId="0" fontId="7" fillId="0" borderId="68" xfId="40" applyFont="1" applyBorder="1" applyAlignment="1">
      <alignment horizontal="left" vertical="center" wrapText="1" indent="1"/>
    </xf>
    <xf numFmtId="0" fontId="7" fillId="0" borderId="72" xfId="40" applyFont="1" applyBorder="1" applyAlignment="1">
      <alignment horizontal="left" vertical="center" wrapText="1" indent="1"/>
    </xf>
    <xf numFmtId="0" fontId="7" fillId="0" borderId="69" xfId="40" applyFont="1" applyBorder="1" applyAlignment="1">
      <alignment horizontal="left" vertical="center" wrapText="1" indent="1"/>
    </xf>
    <xf numFmtId="0" fontId="7" fillId="0" borderId="25" xfId="40" applyFont="1" applyBorder="1" applyAlignment="1">
      <alignment horizontal="center" vertical="center" wrapText="1"/>
    </xf>
    <xf numFmtId="0" fontId="7" fillId="0" borderId="24" xfId="40" applyFont="1" applyBorder="1" applyAlignment="1">
      <alignment horizontal="center" vertical="center" wrapText="1"/>
    </xf>
    <xf numFmtId="0" fontId="24" fillId="0" borderId="13" xfId="40" applyFont="1" applyBorder="1" applyAlignment="1">
      <alignment horizontal="left" vertical="center" wrapText="1"/>
    </xf>
    <xf numFmtId="49" fontId="2" fillId="0" borderId="25" xfId="40" applyNumberFormat="1" applyFont="1" applyBorder="1" applyAlignment="1">
      <alignment horizontal="center" vertical="center" wrapText="1"/>
    </xf>
    <xf numFmtId="49" fontId="2" fillId="0" borderId="13" xfId="40" applyNumberFormat="1" applyFont="1" applyBorder="1" applyAlignment="1">
      <alignment horizontal="center" vertical="center" wrapText="1"/>
    </xf>
    <xf numFmtId="3" fontId="11" fillId="0" borderId="62" xfId="45" applyNumberFormat="1" applyFont="1" applyBorder="1" applyAlignment="1">
      <alignment horizontal="center" vertical="center" wrapText="1"/>
    </xf>
    <xf numFmtId="3" fontId="11" fillId="0" borderId="57" xfId="45" applyNumberFormat="1" applyFont="1" applyBorder="1" applyAlignment="1">
      <alignment horizontal="center" vertical="center" wrapText="1"/>
    </xf>
    <xf numFmtId="3" fontId="11" fillId="0" borderId="58" xfId="45" applyNumberFormat="1" applyFont="1" applyBorder="1" applyAlignment="1">
      <alignment horizontal="center" vertical="center" wrapText="1"/>
    </xf>
    <xf numFmtId="3" fontId="8" fillId="0" borderId="0" xfId="45" applyNumberFormat="1" applyFont="1" applyBorder="1" applyAlignment="1">
      <alignment horizontal="center" vertical="center"/>
    </xf>
    <xf numFmtId="3" fontId="7" fillId="0" borderId="22" xfId="45" applyNumberFormat="1" applyFont="1" applyBorder="1" applyAlignment="1">
      <alignment horizontal="center" vertical="center" wrapText="1"/>
    </xf>
    <xf numFmtId="3" fontId="7" fillId="0" borderId="15" xfId="45"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57" fillId="32" borderId="15" xfId="42" applyFont="1" applyFill="1" applyBorder="1" applyAlignment="1"/>
    <xf numFmtId="0" fontId="57" fillId="32" borderId="13" xfId="42" applyFont="1" applyFill="1" applyBorder="1" applyAlignment="1"/>
    <xf numFmtId="0" fontId="57" fillId="0" borderId="15" xfId="42" applyFont="1" applyBorder="1" applyAlignment="1"/>
    <xf numFmtId="0" fontId="57" fillId="0" borderId="13" xfId="42" applyFont="1" applyBorder="1" applyAlignment="1"/>
    <xf numFmtId="0" fontId="57" fillId="32" borderId="16" xfId="42" applyFont="1" applyFill="1" applyBorder="1" applyAlignment="1"/>
    <xf numFmtId="0" fontId="57" fillId="32" borderId="17" xfId="42" applyFont="1" applyFill="1" applyBorder="1" applyAlignment="1"/>
    <xf numFmtId="3" fontId="11" fillId="0" borderId="62" xfId="44" applyNumberFormat="1" applyFont="1" applyBorder="1" applyAlignment="1">
      <alignment horizontal="center" vertical="center" wrapText="1"/>
    </xf>
    <xf numFmtId="3" fontId="11" fillId="0" borderId="57" xfId="44" applyNumberFormat="1" applyFont="1" applyBorder="1" applyAlignment="1">
      <alignment horizontal="center" vertical="center" wrapText="1"/>
    </xf>
    <xf numFmtId="3" fontId="11" fillId="0" borderId="58" xfId="44" applyNumberFormat="1" applyFont="1" applyBorder="1" applyAlignment="1">
      <alignment horizontal="center" vertical="center" wrapText="1"/>
    </xf>
    <xf numFmtId="3" fontId="7" fillId="0" borderId="62" xfId="44" applyNumberFormat="1" applyFont="1" applyBorder="1" applyAlignment="1">
      <alignment horizontal="left" vertical="center" wrapText="1" indent="1"/>
    </xf>
    <xf numFmtId="3" fontId="7" fillId="0" borderId="57" xfId="44" applyNumberFormat="1" applyFont="1" applyBorder="1" applyAlignment="1">
      <alignment horizontal="left" vertical="center" wrapText="1" indent="1"/>
    </xf>
    <xf numFmtId="3" fontId="7" fillId="0" borderId="58" xfId="44" applyNumberFormat="1" applyFont="1" applyBorder="1" applyAlignment="1">
      <alignment horizontal="left" vertical="center" wrapText="1" indent="1"/>
    </xf>
    <xf numFmtId="0" fontId="7" fillId="0" borderId="62" xfId="0" applyFont="1" applyBorder="1" applyAlignment="1">
      <alignment horizontal="left" vertical="center" wrapText="1"/>
    </xf>
    <xf numFmtId="0" fontId="7" fillId="0" borderId="57" xfId="0" applyFont="1" applyBorder="1" applyAlignment="1">
      <alignment horizontal="left" vertical="center" wrapText="1"/>
    </xf>
    <xf numFmtId="0" fontId="7" fillId="0" borderId="58" xfId="0" applyFont="1" applyBorder="1" applyAlignment="1">
      <alignment horizontal="left" vertical="center" wrapText="1"/>
    </xf>
    <xf numFmtId="0" fontId="11" fillId="0" borderId="64" xfId="0" applyNumberFormat="1" applyFont="1" applyBorder="1" applyAlignment="1">
      <alignment horizontal="center" vertical="center" wrapText="1"/>
    </xf>
    <xf numFmtId="0" fontId="11" fillId="0" borderId="65" xfId="0" applyNumberFormat="1" applyFont="1" applyBorder="1" applyAlignment="1">
      <alignment horizontal="center" vertical="center" wrapText="1"/>
    </xf>
    <xf numFmtId="0" fontId="11" fillId="0" borderId="66" xfId="0" applyNumberFormat="1" applyFont="1" applyBorder="1" applyAlignment="1">
      <alignment horizontal="center" vertical="center" wrapText="1"/>
    </xf>
    <xf numFmtId="0" fontId="57" fillId="32" borderId="30" xfId="42" applyFont="1" applyFill="1" applyBorder="1" applyAlignment="1">
      <alignment horizontal="left" vertical="center" indent="1"/>
    </xf>
    <xf numFmtId="0" fontId="57" fillId="32" borderId="31" xfId="42" applyFont="1" applyFill="1" applyBorder="1" applyAlignment="1">
      <alignment horizontal="left" vertical="center" indent="1"/>
    </xf>
    <xf numFmtId="0" fontId="8" fillId="0" borderId="50" xfId="0" applyFont="1" applyBorder="1" applyAlignment="1">
      <alignment horizontal="left"/>
    </xf>
    <xf numFmtId="0" fontId="4" fillId="0" borderId="6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40" xfId="0" applyFont="1" applyBorder="1" applyAlignment="1">
      <alignment horizontal="center" vertical="center" wrapText="1"/>
    </xf>
  </cellXfs>
  <cellStyles count="9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a 2" xfId="92"/>
    <cellStyle name="čiarky 2" xfId="28"/>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1"/>
    <cellStyle name="Normálna 3" xfId="90"/>
    <cellStyle name="normálne 2" xfId="41"/>
    <cellStyle name="normálne 3" xfId="42"/>
    <cellStyle name="normálne 4" xfId="43"/>
    <cellStyle name="normálne_Databazy_VVŠ_2007_ severská" xfId="44"/>
    <cellStyle name="normálne_Databazy_VVŠ_2007_ severská 2" xfId="93"/>
    <cellStyle name="normálne_sprava_VVŠ_2004_tabuľky_vláda" xfId="45"/>
    <cellStyle name="normální_List1" xfId="46"/>
    <cellStyle name="Note" xfId="47"/>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X" xfId="69"/>
    <cellStyle name="SAPBEXHLevel1" xfId="70"/>
    <cellStyle name="SAPBEXHLevel1X" xfId="71"/>
    <cellStyle name="SAPBEXHLevel2" xfId="72"/>
    <cellStyle name="SAPBEXHLevel2X" xfId="73"/>
    <cellStyle name="SAPBEXHLevel3" xfId="74"/>
    <cellStyle name="SAPBEXHLevel3X" xfId="75"/>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sers/Vanakova/Desktop/VS_2018/VS%20-%202018_Lopa&#353;ovsk&#225;_1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net/Users/Vanakova/Desktop/VS_2018/Tab.%20&#269;.%209_&#269;.10-3_24.4.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Users/Vanakova/Desktop/VS_2018/Tab.%20&#269;.%209_&#269;.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ntranet/Users/Vanakova/Desktop/VS_2018/VS%20-%202018_lopa&#353;ovsk&#225;_op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Výnosy"/>
      <sheetName val="T4-Výnosy zo školného"/>
      <sheetName val="T5 - Analýza nákladov"/>
      <sheetName val="T11-Zdroje KV"/>
      <sheetName val="T12-KV"/>
      <sheetName val="T13-Fondy"/>
      <sheetName val="T16 - Štruktúra hotovosti"/>
      <sheetName val="T21-štruktúra_384"/>
      <sheetName val="T22_Výnosy_soc_oblasť"/>
      <sheetName val="T23_Náklady_soc_oblasť"/>
    </sheetNames>
    <sheetDataSet>
      <sheetData sheetId="0"/>
      <sheetData sheetId="1"/>
      <sheetData sheetId="2"/>
      <sheetData sheetId="3"/>
      <sheetData sheetId="4"/>
      <sheetData sheetId="5">
        <row r="14">
          <cell r="H14">
            <v>193447.24</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_ŠD "/>
      <sheetName val="T9_ŠDMTF"/>
      <sheetName val="T9_ŠD spolu"/>
      <sheetName val="T10-ŠJ"/>
      <sheetName val="T10-ŠJ MTF"/>
      <sheetName val="T10-ŠJspolu"/>
    </sheetNames>
    <sheetDataSet>
      <sheetData sheetId="0">
        <row r="6">
          <cell r="E6">
            <v>6542</v>
          </cell>
          <cell r="F6">
            <v>6542</v>
          </cell>
        </row>
        <row r="7">
          <cell r="E7">
            <v>51090</v>
          </cell>
          <cell r="F7">
            <v>51806</v>
          </cell>
        </row>
        <row r="9">
          <cell r="C9">
            <v>3395894.3400000003</v>
          </cell>
          <cell r="D9">
            <v>3327780.2</v>
          </cell>
        </row>
        <row r="10">
          <cell r="C10">
            <v>44946.3</v>
          </cell>
          <cell r="D10">
            <v>44680.4</v>
          </cell>
        </row>
        <row r="11">
          <cell r="C11">
            <v>2296373.64</v>
          </cell>
          <cell r="D11">
            <v>2448363.4700000002</v>
          </cell>
        </row>
        <row r="12">
          <cell r="C12">
            <v>0</v>
          </cell>
          <cell r="D12">
            <v>0</v>
          </cell>
        </row>
        <row r="15">
          <cell r="C15">
            <v>1856629.1099999999</v>
          </cell>
          <cell r="D15">
            <v>1965372.11</v>
          </cell>
        </row>
        <row r="16">
          <cell r="C16">
            <v>3377423.77</v>
          </cell>
          <cell r="D16">
            <v>2748623.2399999993</v>
          </cell>
        </row>
      </sheetData>
      <sheetData sheetId="1">
        <row r="6">
          <cell r="E6">
            <v>1260</v>
          </cell>
          <cell r="F6">
            <v>1260</v>
          </cell>
        </row>
        <row r="7">
          <cell r="E7">
            <v>12622</v>
          </cell>
          <cell r="F7">
            <v>12616</v>
          </cell>
        </row>
        <row r="9">
          <cell r="C9">
            <v>570996</v>
          </cell>
          <cell r="D9">
            <v>552679</v>
          </cell>
        </row>
        <row r="10">
          <cell r="C10">
            <v>11825</v>
          </cell>
          <cell r="D10">
            <v>16621</v>
          </cell>
        </row>
        <row r="11">
          <cell r="C11">
            <v>519204</v>
          </cell>
          <cell r="D11">
            <v>585215</v>
          </cell>
        </row>
        <row r="12">
          <cell r="C12">
            <v>29768</v>
          </cell>
          <cell r="D12">
            <v>1288</v>
          </cell>
        </row>
        <row r="15">
          <cell r="C15">
            <v>372737</v>
          </cell>
          <cell r="D15">
            <v>419288</v>
          </cell>
        </row>
        <row r="16">
          <cell r="C16">
            <v>665875</v>
          </cell>
          <cell r="D16">
            <v>772204</v>
          </cell>
        </row>
      </sheetData>
      <sheetData sheetId="2"/>
      <sheetData sheetId="3">
        <row r="7">
          <cell r="C7">
            <v>478299.23</v>
          </cell>
          <cell r="D7">
            <v>399593</v>
          </cell>
        </row>
        <row r="8">
          <cell r="C8">
            <v>0</v>
          </cell>
          <cell r="D8">
            <v>0</v>
          </cell>
        </row>
        <row r="10">
          <cell r="C10">
            <v>73359.520000000004</v>
          </cell>
        </row>
        <row r="11">
          <cell r="C11">
            <v>319380</v>
          </cell>
          <cell r="D11">
            <v>302444</v>
          </cell>
        </row>
        <row r="13">
          <cell r="C13">
            <v>796996.49</v>
          </cell>
          <cell r="D13">
            <v>670097.34000000008</v>
          </cell>
        </row>
        <row r="15">
          <cell r="C15">
            <v>764535.49</v>
          </cell>
          <cell r="D15">
            <v>627901.34000000008</v>
          </cell>
        </row>
        <row r="18">
          <cell r="C18">
            <v>282238</v>
          </cell>
          <cell r="D18">
            <v>226387</v>
          </cell>
        </row>
        <row r="19">
          <cell r="C19">
            <v>32461</v>
          </cell>
          <cell r="D19">
            <v>42196</v>
          </cell>
        </row>
      </sheetData>
      <sheetData sheetId="4">
        <row r="7">
          <cell r="C7">
            <v>74080</v>
          </cell>
          <cell r="D7">
            <v>58289</v>
          </cell>
        </row>
        <row r="8">
          <cell r="C8">
            <v>258</v>
          </cell>
          <cell r="D8">
            <v>513</v>
          </cell>
        </row>
        <row r="10">
          <cell r="C10">
            <v>17117</v>
          </cell>
        </row>
        <row r="11">
          <cell r="C11">
            <v>30665</v>
          </cell>
          <cell r="D11">
            <v>40851</v>
          </cell>
        </row>
        <row r="13">
          <cell r="C13">
            <v>113216</v>
          </cell>
          <cell r="D13">
            <v>101192</v>
          </cell>
        </row>
        <row r="15">
          <cell r="C15">
            <v>113216</v>
          </cell>
          <cell r="D15">
            <v>101192</v>
          </cell>
        </row>
        <row r="18">
          <cell r="C18">
            <v>40648</v>
          </cell>
          <cell r="D18">
            <v>31029</v>
          </cell>
        </row>
        <row r="19">
          <cell r="C19">
            <v>0</v>
          </cell>
          <cell r="D19">
            <v>0</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F-10"/>
      <sheetName val="MTF-9"/>
      <sheetName val="T9_ŠD "/>
      <sheetName val="T9_ŠDMTF"/>
      <sheetName val="T9_ŠD spolu"/>
      <sheetName val="T10-ŠJ"/>
      <sheetName val="T10-ŠJ MTF"/>
      <sheetName val="T10-ŠJspolu"/>
    </sheetNames>
    <sheetDataSet>
      <sheetData sheetId="0"/>
      <sheetData sheetId="1"/>
      <sheetData sheetId="2">
        <row r="10">
          <cell r="E10">
            <v>241</v>
          </cell>
          <cell r="F10">
            <v>232</v>
          </cell>
        </row>
      </sheetData>
      <sheetData sheetId="3">
        <row r="10">
          <cell r="E10">
            <v>210</v>
          </cell>
          <cell r="F10">
            <v>149</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Výnosy"/>
      <sheetName val="T4-Výnosy zo školného"/>
      <sheetName val="T5 - Analýza nákladov"/>
      <sheetName val="T11-Zdroje KV"/>
      <sheetName val="T12-KV"/>
      <sheetName val="T13-Fondy"/>
      <sheetName val="T16 - Štruktúra hotovosti"/>
      <sheetName val="T21-štruktúra_384"/>
      <sheetName val="T22_Výnosy_soc_oblasť"/>
      <sheetName val="T23_Náklady_soc_oblasť"/>
    </sheetNames>
    <sheetDataSet>
      <sheetData sheetId="0"/>
      <sheetData sheetId="1"/>
      <sheetData sheetId="2"/>
      <sheetData sheetId="3"/>
      <sheetData sheetId="4">
        <row r="23">
          <cell r="E23">
            <v>82215.45</v>
          </cell>
        </row>
      </sheetData>
      <sheetData sheetId="5"/>
      <sheetData sheetId="6">
        <row r="17">
          <cell r="C17">
            <v>2425855.64</v>
          </cell>
        </row>
      </sheetData>
      <sheetData sheetId="7"/>
      <sheetData sheetId="8"/>
      <sheetData sheetId="9"/>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120" zoomScaleNormal="120" workbookViewId="0">
      <pane xSplit="1" ySplit="1" topLeftCell="B2" activePane="bottomRight" state="frozen"/>
      <selection pane="topRight" activeCell="B1" sqref="B1"/>
      <selection pane="bottomLeft" activeCell="A3" sqref="A3"/>
      <selection pane="bottomRight"/>
    </sheetView>
  </sheetViews>
  <sheetFormatPr defaultColWidth="9.140625" defaultRowHeight="15.75" x14ac:dyDescent="0.25"/>
  <cols>
    <col min="1" max="1" width="13.7109375" style="380" customWidth="1"/>
    <col min="2" max="16" width="9.140625" style="89"/>
    <col min="17" max="17" width="10.28515625" style="89" customWidth="1"/>
    <col min="18" max="18" width="19.42578125" style="89" customWidth="1"/>
    <col min="19" max="16384" width="9.140625" style="89"/>
  </cols>
  <sheetData>
    <row r="1" spans="1:18" ht="23.25" customHeight="1" x14ac:dyDescent="0.25">
      <c r="A1" s="197"/>
      <c r="B1" s="381" t="s">
        <v>1028</v>
      </c>
      <c r="C1" s="371"/>
      <c r="D1" s="371"/>
      <c r="E1" s="371"/>
      <c r="F1" s="371"/>
      <c r="G1" s="371"/>
      <c r="H1" s="371"/>
      <c r="I1" s="371"/>
      <c r="J1" s="371"/>
      <c r="K1" s="371"/>
      <c r="L1" s="372"/>
      <c r="M1" s="373"/>
      <c r="N1" s="373"/>
      <c r="O1" s="373"/>
      <c r="P1" s="373"/>
      <c r="Q1" s="374"/>
    </row>
    <row r="2" spans="1:18" ht="23.1" customHeight="1" x14ac:dyDescent="0.25">
      <c r="A2" s="224" t="s">
        <v>12</v>
      </c>
      <c r="B2" s="199" t="s">
        <v>1029</v>
      </c>
      <c r="C2" s="199"/>
      <c r="D2" s="199"/>
      <c r="E2" s="199"/>
      <c r="F2" s="199"/>
      <c r="G2" s="199"/>
      <c r="H2" s="199"/>
      <c r="I2" s="199"/>
      <c r="J2" s="199"/>
      <c r="K2" s="199"/>
      <c r="L2" s="199"/>
      <c r="M2" s="199"/>
      <c r="N2" s="199"/>
      <c r="O2" s="199"/>
      <c r="P2" s="199"/>
      <c r="Q2" s="376"/>
    </row>
    <row r="3" spans="1:18" ht="23.1" customHeight="1" x14ac:dyDescent="0.25">
      <c r="A3" s="224" t="s">
        <v>692</v>
      </c>
      <c r="B3" s="199" t="s">
        <v>1030</v>
      </c>
      <c r="C3" s="199"/>
      <c r="D3" s="199"/>
      <c r="E3" s="199"/>
      <c r="F3" s="199"/>
      <c r="G3" s="199"/>
      <c r="H3" s="199"/>
      <c r="I3" s="199"/>
      <c r="J3" s="199"/>
      <c r="K3" s="199"/>
      <c r="L3" s="199"/>
      <c r="M3" s="199"/>
      <c r="N3" s="199"/>
      <c r="O3" s="199"/>
      <c r="P3" s="199"/>
      <c r="Q3" s="376"/>
    </row>
    <row r="4" spans="1:18" ht="23.1" customHeight="1" x14ac:dyDescent="0.25">
      <c r="A4" s="224" t="s">
        <v>837</v>
      </c>
      <c r="B4" s="225" t="s">
        <v>836</v>
      </c>
      <c r="C4" s="225"/>
      <c r="D4" s="199"/>
      <c r="E4" s="199"/>
      <c r="F4" s="199"/>
      <c r="G4" s="199"/>
      <c r="H4" s="199"/>
      <c r="I4" s="199"/>
      <c r="J4" s="199"/>
      <c r="K4" s="199"/>
      <c r="L4" s="199"/>
      <c r="M4" s="199"/>
      <c r="N4" s="199"/>
      <c r="O4" s="199"/>
      <c r="P4" s="199"/>
      <c r="Q4" s="376"/>
    </row>
    <row r="5" spans="1:18" ht="39.75" customHeight="1" x14ac:dyDescent="0.25">
      <c r="A5" s="223" t="s">
        <v>311</v>
      </c>
      <c r="B5" s="705" t="s">
        <v>1031</v>
      </c>
      <c r="C5" s="705"/>
      <c r="D5" s="705"/>
      <c r="E5" s="705"/>
      <c r="F5" s="705"/>
      <c r="G5" s="705"/>
      <c r="H5" s="705"/>
      <c r="I5" s="705"/>
      <c r="J5" s="705"/>
      <c r="K5" s="705"/>
      <c r="L5" s="705"/>
      <c r="M5" s="705"/>
      <c r="N5" s="705"/>
      <c r="O5" s="705"/>
      <c r="P5" s="705"/>
      <c r="Q5" s="706"/>
    </row>
    <row r="6" spans="1:18" ht="23.1" customHeight="1" x14ac:dyDescent="0.25">
      <c r="A6" s="223" t="s">
        <v>206</v>
      </c>
      <c r="B6" s="225" t="s">
        <v>1032</v>
      </c>
      <c r="C6" s="225"/>
      <c r="D6" s="225"/>
      <c r="E6" s="225"/>
      <c r="F6" s="225"/>
      <c r="G6" s="225"/>
      <c r="H6" s="225"/>
      <c r="I6" s="225"/>
      <c r="J6" s="225"/>
      <c r="K6" s="225"/>
      <c r="L6" s="225"/>
      <c r="M6" s="225"/>
      <c r="N6" s="225"/>
      <c r="O6" s="225"/>
      <c r="P6" s="225"/>
      <c r="Q6" s="377"/>
    </row>
    <row r="7" spans="1:18" ht="23.1" customHeight="1" x14ac:dyDescent="0.25">
      <c r="A7" s="223" t="s">
        <v>207</v>
      </c>
      <c r="B7" s="334" t="s">
        <v>1033</v>
      </c>
      <c r="C7" s="225"/>
      <c r="D7" s="225"/>
      <c r="E7" s="225"/>
      <c r="F7" s="225"/>
      <c r="G7" s="225"/>
      <c r="H7" s="225"/>
      <c r="I7" s="225"/>
      <c r="J7" s="225"/>
      <c r="K7" s="225"/>
      <c r="L7" s="225"/>
      <c r="M7" s="225"/>
      <c r="N7" s="225"/>
      <c r="O7" s="225"/>
      <c r="P7" s="225"/>
      <c r="Q7" s="377"/>
    </row>
    <row r="8" spans="1:18" ht="23.1" customHeight="1" x14ac:dyDescent="0.25">
      <c r="A8" s="198" t="s">
        <v>208</v>
      </c>
      <c r="B8" s="196" t="s">
        <v>1034</v>
      </c>
      <c r="C8" s="196"/>
      <c r="D8" s="196"/>
      <c r="E8" s="196"/>
      <c r="F8" s="196"/>
      <c r="G8" s="196"/>
      <c r="H8" s="196"/>
      <c r="I8" s="196"/>
      <c r="J8" s="196"/>
      <c r="K8" s="196"/>
      <c r="L8" s="196"/>
      <c r="M8" s="196"/>
      <c r="N8" s="196"/>
      <c r="O8" s="196"/>
      <c r="P8" s="196"/>
      <c r="Q8" s="375"/>
    </row>
    <row r="9" spans="1:18" ht="23.1" customHeight="1" x14ac:dyDescent="0.25">
      <c r="A9" s="223" t="s">
        <v>209</v>
      </c>
      <c r="B9" s="225" t="s">
        <v>1035</v>
      </c>
      <c r="C9" s="225"/>
      <c r="D9" s="225"/>
      <c r="E9" s="225"/>
      <c r="F9" s="225"/>
      <c r="G9" s="225"/>
      <c r="H9" s="225"/>
      <c r="I9" s="225"/>
      <c r="J9" s="225"/>
      <c r="K9" s="225"/>
      <c r="L9" s="225"/>
      <c r="M9" s="225"/>
      <c r="N9" s="225"/>
      <c r="O9" s="225"/>
      <c r="P9" s="225"/>
      <c r="Q9" s="377"/>
    </row>
    <row r="10" spans="1:18" ht="23.1" customHeight="1" x14ac:dyDescent="0.25">
      <c r="A10" s="223" t="s">
        <v>210</v>
      </c>
      <c r="B10" s="225" t="s">
        <v>1036</v>
      </c>
      <c r="C10" s="225"/>
      <c r="D10" s="225"/>
      <c r="E10" s="225"/>
      <c r="F10" s="225"/>
      <c r="G10" s="225"/>
      <c r="H10" s="225"/>
      <c r="I10" s="225"/>
      <c r="J10" s="225"/>
      <c r="K10" s="225"/>
      <c r="L10" s="225"/>
      <c r="M10" s="225"/>
      <c r="N10" s="225"/>
      <c r="O10" s="225"/>
      <c r="P10" s="225"/>
      <c r="Q10" s="377"/>
    </row>
    <row r="11" spans="1:18" ht="23.1" customHeight="1" x14ac:dyDescent="0.25">
      <c r="A11" s="198" t="s">
        <v>848</v>
      </c>
      <c r="B11" s="196" t="s">
        <v>1037</v>
      </c>
      <c r="C11" s="196"/>
      <c r="D11" s="196"/>
      <c r="E11" s="196"/>
      <c r="F11" s="196"/>
      <c r="G11" s="196"/>
      <c r="H11" s="196"/>
      <c r="I11" s="196"/>
      <c r="J11" s="196"/>
      <c r="K11" s="196"/>
      <c r="L11" s="196"/>
      <c r="M11" s="196"/>
      <c r="N11" s="196"/>
      <c r="O11" s="196"/>
      <c r="P11" s="196"/>
      <c r="Q11" s="375"/>
    </row>
    <row r="12" spans="1:18" ht="23.1" customHeight="1" x14ac:dyDescent="0.25">
      <c r="A12" s="223" t="s">
        <v>211</v>
      </c>
      <c r="B12" s="225" t="s">
        <v>1038</v>
      </c>
      <c r="C12" s="225"/>
      <c r="D12" s="225"/>
      <c r="E12" s="225"/>
      <c r="F12" s="225"/>
      <c r="G12" s="225"/>
      <c r="H12" s="225"/>
      <c r="I12" s="225"/>
      <c r="J12" s="225"/>
      <c r="K12" s="225"/>
      <c r="L12" s="225"/>
      <c r="M12" s="225"/>
      <c r="N12" s="225"/>
      <c r="O12" s="225"/>
      <c r="P12" s="225"/>
      <c r="Q12" s="377"/>
      <c r="R12" s="324"/>
    </row>
    <row r="13" spans="1:18" ht="23.1" customHeight="1" x14ac:dyDescent="0.25">
      <c r="A13" s="198" t="s">
        <v>189</v>
      </c>
      <c r="B13" s="196" t="s">
        <v>1039</v>
      </c>
      <c r="C13" s="196"/>
      <c r="D13" s="196"/>
      <c r="E13" s="196"/>
      <c r="F13" s="196"/>
      <c r="G13" s="196"/>
      <c r="H13" s="196"/>
      <c r="I13" s="196"/>
      <c r="J13" s="196"/>
      <c r="K13" s="196"/>
      <c r="L13" s="196"/>
      <c r="M13" s="196"/>
      <c r="N13" s="196"/>
      <c r="O13" s="196"/>
      <c r="P13" s="196"/>
      <c r="Q13" s="375"/>
    </row>
    <row r="14" spans="1:18" ht="23.1" customHeight="1" x14ac:dyDescent="0.25">
      <c r="A14" s="223" t="s">
        <v>0</v>
      </c>
      <c r="B14" s="225" t="s">
        <v>1040</v>
      </c>
      <c r="C14" s="225"/>
      <c r="D14" s="225"/>
      <c r="E14" s="225"/>
      <c r="F14" s="225"/>
      <c r="G14" s="225"/>
      <c r="H14" s="225"/>
      <c r="I14" s="225"/>
      <c r="J14" s="225"/>
      <c r="K14" s="225"/>
      <c r="L14" s="225"/>
      <c r="M14" s="225"/>
      <c r="N14" s="225"/>
      <c r="O14" s="225"/>
      <c r="P14" s="225"/>
      <c r="Q14" s="377"/>
    </row>
    <row r="15" spans="1:18" ht="23.1" customHeight="1" x14ac:dyDescent="0.25">
      <c r="A15" s="198" t="s">
        <v>1</v>
      </c>
      <c r="B15" s="196" t="s">
        <v>1041</v>
      </c>
      <c r="C15" s="196"/>
      <c r="D15" s="196"/>
      <c r="E15" s="196"/>
      <c r="F15" s="196"/>
      <c r="G15" s="196"/>
      <c r="H15" s="196"/>
      <c r="I15" s="196"/>
      <c r="J15" s="196"/>
      <c r="K15" s="196"/>
      <c r="L15" s="196"/>
      <c r="M15" s="196"/>
      <c r="N15" s="196"/>
      <c r="O15" s="196"/>
      <c r="P15" s="196"/>
      <c r="Q15" s="375"/>
    </row>
    <row r="16" spans="1:18" ht="23.1" customHeight="1" x14ac:dyDescent="0.25">
      <c r="A16" s="223" t="s">
        <v>2</v>
      </c>
      <c r="B16" s="225" t="s">
        <v>1042</v>
      </c>
      <c r="C16" s="225"/>
      <c r="D16" s="225"/>
      <c r="E16" s="225"/>
      <c r="F16" s="225"/>
      <c r="G16" s="225"/>
      <c r="H16" s="225"/>
      <c r="I16" s="225"/>
      <c r="J16" s="225"/>
      <c r="K16" s="225"/>
      <c r="L16" s="225"/>
      <c r="M16" s="225"/>
      <c r="N16" s="225"/>
      <c r="O16" s="225"/>
      <c r="P16" s="225"/>
      <c r="Q16" s="377"/>
    </row>
    <row r="17" spans="1:17" ht="23.1" customHeight="1" x14ac:dyDescent="0.25">
      <c r="A17" s="198" t="s">
        <v>3</v>
      </c>
      <c r="B17" s="196" t="s">
        <v>1043</v>
      </c>
      <c r="C17" s="196"/>
      <c r="D17" s="196"/>
      <c r="E17" s="196"/>
      <c r="F17" s="196"/>
      <c r="G17" s="196"/>
      <c r="H17" s="196"/>
      <c r="I17" s="196"/>
      <c r="J17" s="196"/>
      <c r="K17" s="196"/>
      <c r="L17" s="196"/>
      <c r="M17" s="196"/>
      <c r="N17" s="196"/>
      <c r="O17" s="196"/>
      <c r="P17" s="196"/>
      <c r="Q17" s="375"/>
    </row>
    <row r="18" spans="1:17" ht="23.1" customHeight="1" x14ac:dyDescent="0.25">
      <c r="A18" s="223" t="s">
        <v>4</v>
      </c>
      <c r="B18" s="225" t="s">
        <v>1044</v>
      </c>
      <c r="C18" s="225"/>
      <c r="D18" s="225"/>
      <c r="E18" s="225"/>
      <c r="F18" s="225"/>
      <c r="G18" s="225"/>
      <c r="H18" s="225"/>
      <c r="I18" s="225"/>
      <c r="J18" s="225"/>
      <c r="K18" s="225"/>
      <c r="L18" s="225"/>
      <c r="M18" s="225"/>
      <c r="N18" s="225"/>
      <c r="O18" s="225"/>
      <c r="P18" s="225"/>
      <c r="Q18" s="377"/>
    </row>
    <row r="19" spans="1:17" ht="23.1" customHeight="1" x14ac:dyDescent="0.25">
      <c r="A19" s="198" t="s">
        <v>5</v>
      </c>
      <c r="B19" s="196" t="s">
        <v>1045</v>
      </c>
      <c r="C19" s="196"/>
      <c r="D19" s="196"/>
      <c r="E19" s="196"/>
      <c r="F19" s="196"/>
      <c r="G19" s="196"/>
      <c r="H19" s="196"/>
      <c r="I19" s="196"/>
      <c r="J19" s="196"/>
      <c r="K19" s="196"/>
      <c r="L19" s="196"/>
      <c r="M19" s="196"/>
      <c r="N19" s="196"/>
      <c r="O19" s="196"/>
      <c r="P19" s="196"/>
      <c r="Q19" s="375"/>
    </row>
    <row r="20" spans="1:17" ht="32.450000000000003" customHeight="1" x14ac:dyDescent="0.25">
      <c r="A20" s="223" t="s">
        <v>70</v>
      </c>
      <c r="B20" s="709" t="s">
        <v>1046</v>
      </c>
      <c r="C20" s="709"/>
      <c r="D20" s="709"/>
      <c r="E20" s="709"/>
      <c r="F20" s="709"/>
      <c r="G20" s="709"/>
      <c r="H20" s="709"/>
      <c r="I20" s="709"/>
      <c r="J20" s="709"/>
      <c r="K20" s="709"/>
      <c r="L20" s="709"/>
      <c r="M20" s="709"/>
      <c r="N20" s="709"/>
      <c r="O20" s="709"/>
      <c r="P20" s="709"/>
      <c r="Q20" s="710"/>
    </row>
    <row r="21" spans="1:17" ht="33.6" customHeight="1" x14ac:dyDescent="0.25">
      <c r="A21" s="198" t="s">
        <v>6</v>
      </c>
      <c r="B21" s="707" t="s">
        <v>1146</v>
      </c>
      <c r="C21" s="707"/>
      <c r="D21" s="707"/>
      <c r="E21" s="707"/>
      <c r="F21" s="707"/>
      <c r="G21" s="707"/>
      <c r="H21" s="707"/>
      <c r="I21" s="707"/>
      <c r="J21" s="707"/>
      <c r="K21" s="707"/>
      <c r="L21" s="707"/>
      <c r="M21" s="707"/>
      <c r="N21" s="707"/>
      <c r="O21" s="707"/>
      <c r="P21" s="707"/>
      <c r="Q21" s="708"/>
    </row>
    <row r="22" spans="1:17" ht="23.1" customHeight="1" x14ac:dyDescent="0.25">
      <c r="A22" s="223" t="s">
        <v>7</v>
      </c>
      <c r="B22" s="225" t="s">
        <v>1047</v>
      </c>
      <c r="C22" s="225"/>
      <c r="D22" s="225"/>
      <c r="E22" s="225"/>
      <c r="F22" s="225"/>
      <c r="G22" s="225"/>
      <c r="H22" s="225"/>
      <c r="I22" s="225"/>
      <c r="J22" s="225"/>
      <c r="K22" s="225"/>
      <c r="L22" s="225"/>
      <c r="M22" s="225"/>
      <c r="N22" s="225"/>
      <c r="O22" s="225"/>
      <c r="P22" s="225"/>
      <c r="Q22" s="377"/>
    </row>
    <row r="23" spans="1:17" ht="23.1" customHeight="1" x14ac:dyDescent="0.25">
      <c r="A23" s="223" t="s">
        <v>8</v>
      </c>
      <c r="B23" s="196" t="s">
        <v>1048</v>
      </c>
      <c r="C23" s="196"/>
      <c r="D23" s="196"/>
      <c r="E23" s="196"/>
      <c r="F23" s="196"/>
      <c r="G23" s="196"/>
      <c r="H23" s="196"/>
      <c r="I23" s="196"/>
      <c r="J23" s="196"/>
      <c r="K23" s="196"/>
      <c r="L23" s="196"/>
      <c r="M23" s="196"/>
      <c r="N23" s="196"/>
      <c r="O23" s="196"/>
      <c r="P23" s="196"/>
      <c r="Q23" s="375"/>
    </row>
    <row r="24" spans="1:17" ht="23.1" customHeight="1" x14ac:dyDescent="0.25">
      <c r="A24" s="223" t="s">
        <v>9</v>
      </c>
      <c r="B24" s="225" t="s">
        <v>1049</v>
      </c>
      <c r="C24" s="225"/>
      <c r="D24" s="225"/>
      <c r="E24" s="225"/>
      <c r="F24" s="225"/>
      <c r="G24" s="225"/>
      <c r="H24" s="225"/>
      <c r="I24" s="225"/>
      <c r="J24" s="225"/>
      <c r="K24" s="225"/>
      <c r="L24" s="225"/>
      <c r="M24" s="225"/>
      <c r="N24" s="225"/>
      <c r="O24" s="225"/>
      <c r="P24" s="225"/>
      <c r="Q24" s="377"/>
    </row>
    <row r="25" spans="1:17" ht="23.1" customHeight="1" x14ac:dyDescent="0.25">
      <c r="A25" s="223" t="s">
        <v>534</v>
      </c>
      <c r="B25" s="196" t="s">
        <v>1050</v>
      </c>
      <c r="C25" s="196"/>
      <c r="D25" s="196"/>
      <c r="E25" s="196"/>
      <c r="F25" s="196"/>
      <c r="G25" s="196"/>
      <c r="H25" s="196"/>
      <c r="I25" s="196"/>
      <c r="J25" s="196"/>
      <c r="K25" s="196"/>
      <c r="L25" s="196"/>
      <c r="M25" s="196"/>
      <c r="N25" s="196"/>
      <c r="O25" s="196"/>
      <c r="P25" s="196"/>
      <c r="Q25" s="375"/>
    </row>
    <row r="26" spans="1:17" ht="23.1" customHeight="1" x14ac:dyDescent="0.25">
      <c r="A26" s="223" t="s">
        <v>535</v>
      </c>
      <c r="B26" s="225" t="s">
        <v>1051</v>
      </c>
      <c r="C26" s="370"/>
      <c r="D26" s="370"/>
      <c r="E26" s="370"/>
      <c r="F26" s="370"/>
      <c r="G26" s="370"/>
      <c r="H26" s="370"/>
      <c r="I26" s="370"/>
      <c r="J26" s="370"/>
      <c r="K26" s="370"/>
      <c r="L26" s="370"/>
      <c r="M26" s="370"/>
      <c r="N26" s="370"/>
      <c r="O26" s="370"/>
      <c r="P26" s="370"/>
      <c r="Q26" s="378"/>
    </row>
    <row r="27" spans="1:17" x14ac:dyDescent="0.25">
      <c r="A27" s="379"/>
    </row>
    <row r="28" spans="1:17" x14ac:dyDescent="0.25">
      <c r="A28" s="379"/>
    </row>
  </sheetData>
  <mergeCells count="3">
    <mergeCell ref="B5:Q5"/>
    <mergeCell ref="B21:Q21"/>
    <mergeCell ref="B20:Q20"/>
  </mergeCells>
  <phoneticPr fontId="6"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9"/>
  <sheetViews>
    <sheetView zoomScale="85" zoomScaleNormal="85" zoomScaleSheetLayoutView="80" workbookViewId="0">
      <pane xSplit="2" ySplit="5" topLeftCell="C74" activePane="bottomRight" state="frozen"/>
      <selection pane="topRight" activeCell="C1" sqref="C1"/>
      <selection pane="bottomLeft" activeCell="A6" sqref="A6"/>
      <selection pane="bottomRight" activeCell="F97" sqref="F97"/>
    </sheetView>
  </sheetViews>
  <sheetFormatPr defaultColWidth="9.140625" defaultRowHeight="15.75" x14ac:dyDescent="0.25"/>
  <cols>
    <col min="1" max="1" width="8.42578125" style="3" customWidth="1"/>
    <col min="2" max="2" width="74.140625" style="128" customWidth="1"/>
    <col min="3" max="3" width="18" style="1" customWidth="1"/>
    <col min="4" max="7" width="17" style="1" customWidth="1"/>
    <col min="8" max="8" width="18" style="1" customWidth="1"/>
    <col min="9" max="16384" width="9.140625" style="1"/>
  </cols>
  <sheetData>
    <row r="1" spans="1:8" ht="35.1" customHeight="1" thickBot="1" x14ac:dyDescent="0.3">
      <c r="A1" s="749" t="s">
        <v>1103</v>
      </c>
      <c r="B1" s="750"/>
      <c r="C1" s="750"/>
      <c r="D1" s="750"/>
      <c r="E1" s="750"/>
      <c r="F1" s="750"/>
      <c r="G1" s="750"/>
      <c r="H1" s="751"/>
    </row>
    <row r="2" spans="1:8" ht="32.450000000000003" customHeight="1" x14ac:dyDescent="0.25">
      <c r="A2" s="752" t="s">
        <v>1187</v>
      </c>
      <c r="B2" s="753"/>
      <c r="C2" s="753"/>
      <c r="D2" s="753"/>
      <c r="E2" s="753"/>
      <c r="F2" s="753"/>
      <c r="G2" s="753"/>
      <c r="H2" s="754"/>
    </row>
    <row r="3" spans="1:8" s="10" customFormat="1" ht="31.5" customHeight="1" x14ac:dyDescent="0.25">
      <c r="A3" s="743" t="s">
        <v>205</v>
      </c>
      <c r="B3" s="744" t="s">
        <v>332</v>
      </c>
      <c r="C3" s="755">
        <v>2017</v>
      </c>
      <c r="D3" s="755"/>
      <c r="E3" s="755">
        <v>2018</v>
      </c>
      <c r="F3" s="755"/>
      <c r="G3" s="746" t="s">
        <v>1101</v>
      </c>
      <c r="H3" s="748"/>
    </row>
    <row r="4" spans="1:8" ht="31.5" customHeight="1" x14ac:dyDescent="0.25">
      <c r="A4" s="743"/>
      <c r="B4" s="745"/>
      <c r="C4" s="553" t="s">
        <v>333</v>
      </c>
      <c r="D4" s="553" t="s">
        <v>334</v>
      </c>
      <c r="E4" s="553" t="s">
        <v>333</v>
      </c>
      <c r="F4" s="553" t="s">
        <v>334</v>
      </c>
      <c r="G4" s="553" t="s">
        <v>333</v>
      </c>
      <c r="H4" s="555" t="s">
        <v>334</v>
      </c>
    </row>
    <row r="5" spans="1:8" x14ac:dyDescent="0.25">
      <c r="A5" s="31"/>
      <c r="B5" s="298"/>
      <c r="C5" s="38" t="s">
        <v>286</v>
      </c>
      <c r="D5" s="38" t="s">
        <v>287</v>
      </c>
      <c r="E5" s="38" t="s">
        <v>288</v>
      </c>
      <c r="F5" s="38" t="s">
        <v>295</v>
      </c>
      <c r="G5" s="38" t="s">
        <v>31</v>
      </c>
      <c r="H5" s="78" t="s">
        <v>32</v>
      </c>
    </row>
    <row r="6" spans="1:8" x14ac:dyDescent="0.25">
      <c r="A6" s="31">
        <v>1</v>
      </c>
      <c r="B6" s="296" t="s">
        <v>1188</v>
      </c>
      <c r="C6" s="516">
        <f>SUM(C7:C18)</f>
        <v>3874344</v>
      </c>
      <c r="D6" s="516">
        <f>SUM(D7:D18)</f>
        <v>688058</v>
      </c>
      <c r="E6" s="516">
        <f>SUM(E7:E18)</f>
        <v>4239914.08</v>
      </c>
      <c r="F6" s="516">
        <f>SUM(F7:F18)</f>
        <v>527916.78999999992</v>
      </c>
      <c r="G6" s="61">
        <f>E6-C6</f>
        <v>365570.08000000007</v>
      </c>
      <c r="H6" s="138">
        <f>F6-D6</f>
        <v>-160141.21000000008</v>
      </c>
    </row>
    <row r="7" spans="1:8" ht="17.25" customHeight="1" x14ac:dyDescent="0.25">
      <c r="A7" s="31">
        <f>A6+1</f>
        <v>2</v>
      </c>
      <c r="B7" s="294" t="s">
        <v>794</v>
      </c>
      <c r="C7" s="498">
        <v>117627.97</v>
      </c>
      <c r="D7" s="498">
        <v>7920.12</v>
      </c>
      <c r="E7" s="498">
        <v>159743.74</v>
      </c>
      <c r="F7" s="498">
        <v>9872.41</v>
      </c>
      <c r="G7" s="145">
        <f>E7-C7</f>
        <v>42115.76999999999</v>
      </c>
      <c r="H7" s="146">
        <f>F7-D7</f>
        <v>1952.29</v>
      </c>
    </row>
    <row r="8" spans="1:8" ht="30.6" customHeight="1" x14ac:dyDescent="0.25">
      <c r="A8" s="31">
        <f t="shared" ref="A8:A71" si="0">A7+1</f>
        <v>3</v>
      </c>
      <c r="B8" s="297" t="s">
        <v>915</v>
      </c>
      <c r="C8" s="498">
        <v>314056.75</v>
      </c>
      <c r="D8" s="498">
        <v>19497.97</v>
      </c>
      <c r="E8" s="498">
        <v>329013.75</v>
      </c>
      <c r="F8" s="498">
        <v>13434.29</v>
      </c>
      <c r="G8" s="145">
        <f t="shared" ref="G8:H71" si="1">E8-C8</f>
        <v>14957</v>
      </c>
      <c r="H8" s="146">
        <f t="shared" si="1"/>
        <v>-6063.68</v>
      </c>
    </row>
    <row r="9" spans="1:8" x14ac:dyDescent="0.25">
      <c r="A9" s="31">
        <f t="shared" si="0"/>
        <v>4</v>
      </c>
      <c r="B9" s="294" t="s">
        <v>795</v>
      </c>
      <c r="C9" s="498">
        <v>432501.54</v>
      </c>
      <c r="D9" s="498">
        <v>52915.24</v>
      </c>
      <c r="E9" s="498">
        <v>564232.1</v>
      </c>
      <c r="F9" s="498">
        <v>83654.149999999994</v>
      </c>
      <c r="G9" s="145">
        <f t="shared" si="1"/>
        <v>131730.56</v>
      </c>
      <c r="H9" s="146">
        <f t="shared" si="1"/>
        <v>30738.909999999996</v>
      </c>
    </row>
    <row r="10" spans="1:8" x14ac:dyDescent="0.25">
      <c r="A10" s="31">
        <f t="shared" si="0"/>
        <v>5</v>
      </c>
      <c r="B10" s="294" t="s">
        <v>796</v>
      </c>
      <c r="C10" s="498">
        <v>11548.47</v>
      </c>
      <c r="D10" s="498">
        <v>713.87</v>
      </c>
      <c r="E10" s="498">
        <v>9165</v>
      </c>
      <c r="F10" s="498">
        <v>974.65</v>
      </c>
      <c r="G10" s="145">
        <f t="shared" si="1"/>
        <v>-2383.4699999999993</v>
      </c>
      <c r="H10" s="146">
        <f t="shared" si="1"/>
        <v>260.77999999999997</v>
      </c>
    </row>
    <row r="11" spans="1:8" x14ac:dyDescent="0.25">
      <c r="A11" s="31">
        <f t="shared" si="0"/>
        <v>6</v>
      </c>
      <c r="B11" s="294" t="s">
        <v>797</v>
      </c>
      <c r="C11" s="498">
        <v>37636.589999999997</v>
      </c>
      <c r="D11" s="498">
        <v>11267.66</v>
      </c>
      <c r="E11" s="498">
        <v>43264.68</v>
      </c>
      <c r="F11" s="498">
        <v>8763.77</v>
      </c>
      <c r="G11" s="145">
        <f t="shared" si="1"/>
        <v>5628.0900000000038</v>
      </c>
      <c r="H11" s="146">
        <f t="shared" si="1"/>
        <v>-2503.8899999999994</v>
      </c>
    </row>
    <row r="12" spans="1:8" x14ac:dyDescent="0.25">
      <c r="A12" s="31">
        <f t="shared" si="0"/>
        <v>7</v>
      </c>
      <c r="B12" s="294" t="s">
        <v>798</v>
      </c>
      <c r="C12" s="498">
        <v>146711.10999999999</v>
      </c>
      <c r="D12" s="498">
        <v>40608.379999999997</v>
      </c>
      <c r="E12" s="498">
        <v>149176.03</v>
      </c>
      <c r="F12" s="498">
        <v>41625.910000000003</v>
      </c>
      <c r="G12" s="145">
        <f t="shared" si="1"/>
        <v>2464.9200000000128</v>
      </c>
      <c r="H12" s="146">
        <f t="shared" si="1"/>
        <v>1017.5300000000061</v>
      </c>
    </row>
    <row r="13" spans="1:8" ht="31.5" x14ac:dyDescent="0.25">
      <c r="A13" s="31">
        <f t="shared" si="0"/>
        <v>8</v>
      </c>
      <c r="B13" s="294" t="s">
        <v>111</v>
      </c>
      <c r="C13" s="498">
        <v>219489.51</v>
      </c>
      <c r="D13" s="498">
        <v>79270.3</v>
      </c>
      <c r="E13" s="498">
        <v>206552.23</v>
      </c>
      <c r="F13" s="498">
        <v>37710.21</v>
      </c>
      <c r="G13" s="145">
        <f t="shared" si="1"/>
        <v>-12937.279999999999</v>
      </c>
      <c r="H13" s="146">
        <f t="shared" si="1"/>
        <v>-41560.090000000004</v>
      </c>
    </row>
    <row r="14" spans="1:8" x14ac:dyDescent="0.25">
      <c r="A14" s="31">
        <f t="shared" si="0"/>
        <v>9</v>
      </c>
      <c r="B14" s="294" t="s">
        <v>112</v>
      </c>
      <c r="C14" s="498">
        <v>434657.84</v>
      </c>
      <c r="D14" s="498">
        <v>176779.91</v>
      </c>
      <c r="E14" s="498">
        <v>358927.82</v>
      </c>
      <c r="F14" s="498">
        <v>166677.07</v>
      </c>
      <c r="G14" s="145">
        <f t="shared" si="1"/>
        <v>-75730.020000000019</v>
      </c>
      <c r="H14" s="146">
        <f t="shared" si="1"/>
        <v>-10102.839999999997</v>
      </c>
    </row>
    <row r="15" spans="1:8" x14ac:dyDescent="0.25">
      <c r="A15" s="31">
        <f t="shared" si="0"/>
        <v>10</v>
      </c>
      <c r="B15" s="299" t="s">
        <v>113</v>
      </c>
      <c r="C15" s="498">
        <v>718142.43</v>
      </c>
      <c r="D15" s="498">
        <v>28088.12</v>
      </c>
      <c r="E15" s="498">
        <v>887845.42</v>
      </c>
      <c r="F15" s="498">
        <v>31640.560000000001</v>
      </c>
      <c r="G15" s="145">
        <f t="shared" si="1"/>
        <v>169702.99</v>
      </c>
      <c r="H15" s="146">
        <f t="shared" si="1"/>
        <v>3552.4400000000023</v>
      </c>
    </row>
    <row r="16" spans="1:8" ht="16.149999999999999" customHeight="1" x14ac:dyDescent="0.25">
      <c r="A16" s="31">
        <f t="shared" si="0"/>
        <v>11</v>
      </c>
      <c r="B16" s="294" t="s">
        <v>114</v>
      </c>
      <c r="C16" s="498">
        <v>296433.78999999998</v>
      </c>
      <c r="D16" s="498">
        <v>140613.41</v>
      </c>
      <c r="E16" s="498">
        <v>273172.93</v>
      </c>
      <c r="F16" s="498">
        <v>5549.71</v>
      </c>
      <c r="G16" s="145">
        <f t="shared" si="1"/>
        <v>-23260.859999999986</v>
      </c>
      <c r="H16" s="146">
        <f t="shared" si="1"/>
        <v>-135063.70000000001</v>
      </c>
    </row>
    <row r="17" spans="1:8" ht="31.5" x14ac:dyDescent="0.25">
      <c r="A17" s="31">
        <f t="shared" si="0"/>
        <v>12</v>
      </c>
      <c r="B17" s="45" t="s">
        <v>1010</v>
      </c>
      <c r="C17" s="498">
        <v>657732.73</v>
      </c>
      <c r="D17" s="498">
        <v>60145.919999999998</v>
      </c>
      <c r="E17" s="498">
        <v>632173.64</v>
      </c>
      <c r="F17" s="498">
        <v>61336.09</v>
      </c>
      <c r="G17" s="145">
        <f t="shared" si="1"/>
        <v>-25559.089999999967</v>
      </c>
      <c r="H17" s="146">
        <f t="shared" si="1"/>
        <v>1190.1699999999983</v>
      </c>
    </row>
    <row r="18" spans="1:8" x14ac:dyDescent="0.25">
      <c r="A18" s="31">
        <f t="shared" si="0"/>
        <v>13</v>
      </c>
      <c r="B18" s="294" t="s">
        <v>910</v>
      </c>
      <c r="C18" s="498">
        <v>487805.27</v>
      </c>
      <c r="D18" s="498">
        <v>70237.100000000006</v>
      </c>
      <c r="E18" s="498">
        <v>626646.74</v>
      </c>
      <c r="F18" s="498">
        <v>66677.97</v>
      </c>
      <c r="G18" s="145">
        <f t="shared" si="1"/>
        <v>138841.46999999997</v>
      </c>
      <c r="H18" s="146">
        <f t="shared" si="1"/>
        <v>-3559.1300000000047</v>
      </c>
    </row>
    <row r="19" spans="1:8" x14ac:dyDescent="0.25">
      <c r="A19" s="31">
        <f t="shared" si="0"/>
        <v>14</v>
      </c>
      <c r="B19" s="296" t="s">
        <v>1189</v>
      </c>
      <c r="C19" s="516">
        <f>SUM(C20:C25)</f>
        <v>4906665.13</v>
      </c>
      <c r="D19" s="516">
        <f>SUM(D20:D25)</f>
        <v>586427.25</v>
      </c>
      <c r="E19" s="516">
        <f>SUM(E20:E25)</f>
        <v>4888720.5000000009</v>
      </c>
      <c r="F19" s="516">
        <f>SUM(F20:F25)</f>
        <v>530446.76</v>
      </c>
      <c r="G19" s="61">
        <f t="shared" si="1"/>
        <v>-17944.629999998957</v>
      </c>
      <c r="H19" s="138">
        <f t="shared" si="1"/>
        <v>-55980.489999999991</v>
      </c>
    </row>
    <row r="20" spans="1:8" x14ac:dyDescent="0.25">
      <c r="A20" s="31">
        <f t="shared" si="0"/>
        <v>15</v>
      </c>
      <c r="B20" s="294" t="s">
        <v>799</v>
      </c>
      <c r="C20" s="498">
        <v>1735650.3</v>
      </c>
      <c r="D20" s="498">
        <v>231584.96</v>
      </c>
      <c r="E20" s="498">
        <v>1877756.47</v>
      </c>
      <c r="F20" s="498">
        <v>183915.82</v>
      </c>
      <c r="G20" s="145">
        <f t="shared" si="1"/>
        <v>142106.16999999993</v>
      </c>
      <c r="H20" s="146">
        <f t="shared" si="1"/>
        <v>-47669.139999999985</v>
      </c>
    </row>
    <row r="21" spans="1:8" x14ac:dyDescent="0.25">
      <c r="A21" s="31">
        <f t="shared" si="0"/>
        <v>16</v>
      </c>
      <c r="B21" s="294" t="s">
        <v>800</v>
      </c>
      <c r="C21" s="498">
        <v>2777760.03</v>
      </c>
      <c r="D21" s="498">
        <v>150732.37</v>
      </c>
      <c r="E21" s="498">
        <v>2674255.64</v>
      </c>
      <c r="F21" s="498">
        <v>164238.41</v>
      </c>
      <c r="G21" s="145">
        <f t="shared" si="1"/>
        <v>-103504.38999999966</v>
      </c>
      <c r="H21" s="146">
        <f t="shared" si="1"/>
        <v>13506.040000000008</v>
      </c>
    </row>
    <row r="22" spans="1:8" x14ac:dyDescent="0.25">
      <c r="A22" s="31">
        <f t="shared" si="0"/>
        <v>17</v>
      </c>
      <c r="B22" s="294" t="s">
        <v>801</v>
      </c>
      <c r="C22" s="498">
        <v>285677.63</v>
      </c>
      <c r="D22" s="498">
        <v>49058.53</v>
      </c>
      <c r="E22" s="498">
        <v>263996.86</v>
      </c>
      <c r="F22" s="498">
        <v>57842.49</v>
      </c>
      <c r="G22" s="145">
        <f t="shared" si="1"/>
        <v>-21680.770000000019</v>
      </c>
      <c r="H22" s="146">
        <f t="shared" si="1"/>
        <v>8783.9599999999991</v>
      </c>
    </row>
    <row r="23" spans="1:8" x14ac:dyDescent="0.25">
      <c r="A23" s="31">
        <f t="shared" si="0"/>
        <v>18</v>
      </c>
      <c r="B23" s="294" t="s">
        <v>802</v>
      </c>
      <c r="C23" s="498">
        <v>107481.07</v>
      </c>
      <c r="D23" s="498">
        <v>155051.39000000001</v>
      </c>
      <c r="E23" s="498">
        <v>72630.16</v>
      </c>
      <c r="F23" s="498">
        <v>124450.04</v>
      </c>
      <c r="G23" s="145">
        <f t="shared" si="1"/>
        <v>-34850.910000000003</v>
      </c>
      <c r="H23" s="146">
        <f t="shared" si="1"/>
        <v>-30601.35000000002</v>
      </c>
    </row>
    <row r="24" spans="1:8" x14ac:dyDescent="0.25">
      <c r="A24" s="31">
        <f t="shared" si="0"/>
        <v>19</v>
      </c>
      <c r="B24" s="294" t="s">
        <v>803</v>
      </c>
      <c r="C24" s="498">
        <v>96.1</v>
      </c>
      <c r="D24" s="498">
        <v>0</v>
      </c>
      <c r="E24" s="498">
        <v>63.37</v>
      </c>
      <c r="F24" s="498">
        <v>0</v>
      </c>
      <c r="G24" s="145">
        <f t="shared" si="1"/>
        <v>-32.729999999999997</v>
      </c>
      <c r="H24" s="146">
        <f t="shared" si="1"/>
        <v>0</v>
      </c>
    </row>
    <row r="25" spans="1:8" x14ac:dyDescent="0.25">
      <c r="A25" s="31">
        <f t="shared" si="0"/>
        <v>20</v>
      </c>
      <c r="B25" s="294" t="s">
        <v>911</v>
      </c>
      <c r="C25" s="498">
        <v>0</v>
      </c>
      <c r="D25" s="498">
        <v>0</v>
      </c>
      <c r="E25" s="498">
        <v>18</v>
      </c>
      <c r="F25" s="498">
        <v>0</v>
      </c>
      <c r="G25" s="145">
        <f t="shared" si="1"/>
        <v>18</v>
      </c>
      <c r="H25" s="146">
        <f t="shared" si="1"/>
        <v>0</v>
      </c>
    </row>
    <row r="26" spans="1:8" x14ac:dyDescent="0.25">
      <c r="A26" s="31">
        <f t="shared" si="0"/>
        <v>21</v>
      </c>
      <c r="B26" s="296" t="s">
        <v>327</v>
      </c>
      <c r="C26" s="584" t="s">
        <v>317</v>
      </c>
      <c r="D26" s="584" t="s">
        <v>317</v>
      </c>
      <c r="E26" s="584" t="s">
        <v>317</v>
      </c>
      <c r="F26" s="584" t="s">
        <v>317</v>
      </c>
      <c r="G26" s="66" t="s">
        <v>158</v>
      </c>
      <c r="H26" s="139" t="s">
        <v>158</v>
      </c>
    </row>
    <row r="27" spans="1:8" x14ac:dyDescent="0.25">
      <c r="A27" s="31">
        <f t="shared" si="0"/>
        <v>22</v>
      </c>
      <c r="B27" s="296" t="s">
        <v>1190</v>
      </c>
      <c r="C27" s="516">
        <f>SUM(C28:C31)</f>
        <v>0</v>
      </c>
      <c r="D27" s="516">
        <f>SUM(D28:D31)</f>
        <v>55456.03</v>
      </c>
      <c r="E27" s="516">
        <f>SUM(E28:E31)</f>
        <v>0</v>
      </c>
      <c r="F27" s="516">
        <f>SUM(F28:F31)</f>
        <v>50207.32</v>
      </c>
      <c r="G27" s="61">
        <f t="shared" si="1"/>
        <v>0</v>
      </c>
      <c r="H27" s="138">
        <f t="shared" si="1"/>
        <v>-5248.7099999999991</v>
      </c>
    </row>
    <row r="28" spans="1:8" x14ac:dyDescent="0.25">
      <c r="A28" s="31">
        <f t="shared" si="0"/>
        <v>23</v>
      </c>
      <c r="B28" s="294" t="s">
        <v>278</v>
      </c>
      <c r="C28" s="498">
        <v>0</v>
      </c>
      <c r="D28" s="498">
        <v>0</v>
      </c>
      <c r="E28" s="498">
        <v>0</v>
      </c>
      <c r="F28" s="498">
        <v>0</v>
      </c>
      <c r="G28" s="145">
        <f t="shared" si="1"/>
        <v>0</v>
      </c>
      <c r="H28" s="146">
        <f t="shared" si="1"/>
        <v>0</v>
      </c>
    </row>
    <row r="29" spans="1:8" x14ac:dyDescent="0.25">
      <c r="A29" s="31">
        <f t="shared" si="0"/>
        <v>24</v>
      </c>
      <c r="B29" s="297" t="s">
        <v>302</v>
      </c>
      <c r="C29" s="498">
        <v>0</v>
      </c>
      <c r="D29" s="498">
        <v>0</v>
      </c>
      <c r="E29" s="498">
        <v>0</v>
      </c>
      <c r="F29" s="498">
        <v>0</v>
      </c>
      <c r="G29" s="145">
        <f t="shared" si="1"/>
        <v>0</v>
      </c>
      <c r="H29" s="146">
        <f t="shared" si="1"/>
        <v>0</v>
      </c>
    </row>
    <row r="30" spans="1:8" x14ac:dyDescent="0.25">
      <c r="A30" s="31">
        <f t="shared" si="0"/>
        <v>25</v>
      </c>
      <c r="B30" s="297" t="s">
        <v>62</v>
      </c>
      <c r="C30" s="498">
        <v>0</v>
      </c>
      <c r="D30" s="498">
        <v>0</v>
      </c>
      <c r="E30" s="498">
        <v>0</v>
      </c>
      <c r="F30" s="498">
        <v>0</v>
      </c>
      <c r="G30" s="145">
        <f t="shared" si="1"/>
        <v>0</v>
      </c>
      <c r="H30" s="146">
        <f t="shared" si="1"/>
        <v>0</v>
      </c>
    </row>
    <row r="31" spans="1:8" x14ac:dyDescent="0.25">
      <c r="A31" s="31">
        <f t="shared" si="0"/>
        <v>26</v>
      </c>
      <c r="B31" s="294" t="s">
        <v>63</v>
      </c>
      <c r="C31" s="498">
        <v>0</v>
      </c>
      <c r="D31" s="498">
        <v>55456.03</v>
      </c>
      <c r="E31" s="498">
        <v>0</v>
      </c>
      <c r="F31" s="498">
        <v>50207.32</v>
      </c>
      <c r="G31" s="145">
        <f t="shared" si="1"/>
        <v>0</v>
      </c>
      <c r="H31" s="146">
        <f t="shared" si="1"/>
        <v>-5248.7099999999991</v>
      </c>
    </row>
    <row r="32" spans="1:8" x14ac:dyDescent="0.25">
      <c r="A32" s="31">
        <f t="shared" si="0"/>
        <v>27</v>
      </c>
      <c r="B32" s="296" t="s">
        <v>1191</v>
      </c>
      <c r="C32" s="516">
        <f>SUM(C33:C39)</f>
        <v>3160167.8200000003</v>
      </c>
      <c r="D32" s="516">
        <f>SUM(D33:D39)</f>
        <v>223909.91999999998</v>
      </c>
      <c r="E32" s="516">
        <f>SUM(E33:E39)</f>
        <v>3277461.59</v>
      </c>
      <c r="F32" s="516">
        <f>SUM(F33:F39)</f>
        <v>246708.82999999996</v>
      </c>
      <c r="G32" s="61">
        <f t="shared" si="1"/>
        <v>117293.76999999955</v>
      </c>
      <c r="H32" s="138">
        <f t="shared" si="1"/>
        <v>22798.909999999974</v>
      </c>
    </row>
    <row r="33" spans="1:8" x14ac:dyDescent="0.25">
      <c r="A33" s="31">
        <f t="shared" si="0"/>
        <v>28</v>
      </c>
      <c r="B33" s="294" t="s">
        <v>115</v>
      </c>
      <c r="C33" s="498">
        <v>2239680.5</v>
      </c>
      <c r="D33" s="498">
        <v>148399.46</v>
      </c>
      <c r="E33" s="498">
        <v>1990508.97</v>
      </c>
      <c r="F33" s="498">
        <v>90889.74</v>
      </c>
      <c r="G33" s="145">
        <f t="shared" si="1"/>
        <v>-249171.53000000003</v>
      </c>
      <c r="H33" s="146">
        <f t="shared" si="1"/>
        <v>-57509.719999999987</v>
      </c>
    </row>
    <row r="34" spans="1:8" x14ac:dyDescent="0.25">
      <c r="A34" s="31">
        <f t="shared" si="0"/>
        <v>29</v>
      </c>
      <c r="B34" s="294" t="s">
        <v>116</v>
      </c>
      <c r="C34" s="498">
        <v>467208.43</v>
      </c>
      <c r="D34" s="498">
        <v>26901.93</v>
      </c>
      <c r="E34" s="498">
        <v>492214.6</v>
      </c>
      <c r="F34" s="498">
        <v>61141.14</v>
      </c>
      <c r="G34" s="145">
        <f t="shared" si="1"/>
        <v>25006.169999999984</v>
      </c>
      <c r="H34" s="146">
        <f t="shared" si="1"/>
        <v>34239.21</v>
      </c>
    </row>
    <row r="35" spans="1:8" x14ac:dyDescent="0.25">
      <c r="A35" s="31">
        <f t="shared" si="0"/>
        <v>30</v>
      </c>
      <c r="B35" s="294" t="s">
        <v>117</v>
      </c>
      <c r="C35" s="498">
        <v>19783.12</v>
      </c>
      <c r="D35" s="498">
        <v>6004.06</v>
      </c>
      <c r="E35" s="498">
        <v>33347.64</v>
      </c>
      <c r="F35" s="498">
        <v>6342.49</v>
      </c>
      <c r="G35" s="145">
        <f t="shared" si="1"/>
        <v>13564.52</v>
      </c>
      <c r="H35" s="146">
        <f t="shared" si="1"/>
        <v>338.42999999999938</v>
      </c>
    </row>
    <row r="36" spans="1:8" x14ac:dyDescent="0.25">
      <c r="A36" s="31">
        <f t="shared" si="0"/>
        <v>31</v>
      </c>
      <c r="B36" s="294" t="s">
        <v>118</v>
      </c>
      <c r="C36" s="498">
        <v>44189.48</v>
      </c>
      <c r="D36" s="498">
        <v>12294.86</v>
      </c>
      <c r="E36" s="498">
        <v>45652.52</v>
      </c>
      <c r="F36" s="498">
        <v>11986.58</v>
      </c>
      <c r="G36" s="145">
        <f t="shared" si="1"/>
        <v>1463.0399999999936</v>
      </c>
      <c r="H36" s="146">
        <f t="shared" si="1"/>
        <v>-308.28000000000065</v>
      </c>
    </row>
    <row r="37" spans="1:8" ht="31.5" x14ac:dyDescent="0.25">
      <c r="A37" s="31">
        <f t="shared" si="0"/>
        <v>32</v>
      </c>
      <c r="B37" s="299" t="s">
        <v>120</v>
      </c>
      <c r="C37" s="498">
        <v>342</v>
      </c>
      <c r="D37" s="498">
        <v>0</v>
      </c>
      <c r="E37" s="498">
        <v>4203.3100000000004</v>
      </c>
      <c r="F37" s="498">
        <v>576.72</v>
      </c>
      <c r="G37" s="145">
        <f t="shared" si="1"/>
        <v>3861.3100000000004</v>
      </c>
      <c r="H37" s="146">
        <f t="shared" si="1"/>
        <v>576.72</v>
      </c>
    </row>
    <row r="38" spans="1:8" x14ac:dyDescent="0.25">
      <c r="A38" s="31">
        <f t="shared" si="0"/>
        <v>33</v>
      </c>
      <c r="B38" s="585" t="s">
        <v>842</v>
      </c>
      <c r="C38" s="498">
        <v>96286.14</v>
      </c>
      <c r="D38" s="498">
        <v>15621.18</v>
      </c>
      <c r="E38" s="498">
        <v>244684.26</v>
      </c>
      <c r="F38" s="498">
        <v>19623.05</v>
      </c>
      <c r="G38" s="145">
        <f t="shared" si="1"/>
        <v>148398.12</v>
      </c>
      <c r="H38" s="146">
        <f t="shared" si="1"/>
        <v>4001.869999999999</v>
      </c>
    </row>
    <row r="39" spans="1:8" x14ac:dyDescent="0.25">
      <c r="A39" s="31">
        <f t="shared" si="0"/>
        <v>34</v>
      </c>
      <c r="B39" s="294" t="s">
        <v>121</v>
      </c>
      <c r="C39" s="498">
        <v>292678.15000000002</v>
      </c>
      <c r="D39" s="498">
        <v>14688.43</v>
      </c>
      <c r="E39" s="498">
        <v>466850.29</v>
      </c>
      <c r="F39" s="498">
        <v>56149.11</v>
      </c>
      <c r="G39" s="145">
        <f t="shared" si="1"/>
        <v>174172.13999999996</v>
      </c>
      <c r="H39" s="146">
        <f t="shared" si="1"/>
        <v>41460.68</v>
      </c>
    </row>
    <row r="40" spans="1:8" x14ac:dyDescent="0.25">
      <c r="A40" s="31">
        <f t="shared" si="0"/>
        <v>35</v>
      </c>
      <c r="B40" s="296" t="s">
        <v>1192</v>
      </c>
      <c r="C40" s="516">
        <f>C41+C42</f>
        <v>1005436.5</v>
      </c>
      <c r="D40" s="516">
        <f>D41+D42</f>
        <v>80583.02</v>
      </c>
      <c r="E40" s="516">
        <f>E41+E42</f>
        <v>1021165.16</v>
      </c>
      <c r="F40" s="516">
        <f>F41+F42</f>
        <v>88647.95</v>
      </c>
      <c r="G40" s="61">
        <f t="shared" si="1"/>
        <v>15728.660000000033</v>
      </c>
      <c r="H40" s="138">
        <f t="shared" si="1"/>
        <v>8064.929999999993</v>
      </c>
    </row>
    <row r="41" spans="1:8" x14ac:dyDescent="0.25">
      <c r="A41" s="31">
        <f t="shared" si="0"/>
        <v>36</v>
      </c>
      <c r="B41" s="294" t="s">
        <v>804</v>
      </c>
      <c r="C41" s="498">
        <v>174632.57</v>
      </c>
      <c r="D41" s="498">
        <v>53283.46</v>
      </c>
      <c r="E41" s="498">
        <v>155561.60999999999</v>
      </c>
      <c r="F41" s="498">
        <v>55187.6</v>
      </c>
      <c r="G41" s="145">
        <f t="shared" si="1"/>
        <v>-19070.960000000021</v>
      </c>
      <c r="H41" s="146">
        <f t="shared" si="1"/>
        <v>1904.1399999999994</v>
      </c>
    </row>
    <row r="42" spans="1:8" x14ac:dyDescent="0.25">
      <c r="A42" s="31">
        <f t="shared" si="0"/>
        <v>37</v>
      </c>
      <c r="B42" s="294" t="s">
        <v>959</v>
      </c>
      <c r="C42" s="498">
        <v>830803.93</v>
      </c>
      <c r="D42" s="498">
        <v>27299.56</v>
      </c>
      <c r="E42" s="498">
        <v>865603.55</v>
      </c>
      <c r="F42" s="498">
        <v>33460.35</v>
      </c>
      <c r="G42" s="145">
        <f t="shared" si="1"/>
        <v>34799.619999999995</v>
      </c>
      <c r="H42" s="146">
        <f t="shared" si="1"/>
        <v>6160.7899999999972</v>
      </c>
    </row>
    <row r="43" spans="1:8" x14ac:dyDescent="0.25">
      <c r="A43" s="31">
        <f t="shared" si="0"/>
        <v>38</v>
      </c>
      <c r="B43" s="296" t="s">
        <v>328</v>
      </c>
      <c r="C43" s="506">
        <v>123435.82</v>
      </c>
      <c r="D43" s="506">
        <v>16358.68</v>
      </c>
      <c r="E43" s="506">
        <v>136745.01999999999</v>
      </c>
      <c r="F43" s="506">
        <v>13984.71</v>
      </c>
      <c r="G43" s="145">
        <f t="shared" si="1"/>
        <v>13309.199999999983</v>
      </c>
      <c r="H43" s="146">
        <f t="shared" si="1"/>
        <v>-2373.9700000000012</v>
      </c>
    </row>
    <row r="44" spans="1:8" x14ac:dyDescent="0.25">
      <c r="A44" s="31">
        <f t="shared" si="0"/>
        <v>39</v>
      </c>
      <c r="B44" s="296" t="s">
        <v>1193</v>
      </c>
      <c r="C44" s="516">
        <f>SUM(C45:C59)</f>
        <v>5023139.41</v>
      </c>
      <c r="D44" s="516">
        <f>SUM(D45:D59)</f>
        <v>645136.90999999992</v>
      </c>
      <c r="E44" s="516">
        <f>SUM(E45:E59)</f>
        <v>5065912.55</v>
      </c>
      <c r="F44" s="516">
        <f>SUM(F45:F59)</f>
        <v>1206798.1499999999</v>
      </c>
      <c r="G44" s="61">
        <f t="shared" si="1"/>
        <v>42773.139999999665</v>
      </c>
      <c r="H44" s="138">
        <f t="shared" si="1"/>
        <v>561661.24</v>
      </c>
    </row>
    <row r="45" spans="1:8" x14ac:dyDescent="0.25">
      <c r="A45" s="31">
        <f t="shared" si="0"/>
        <v>40</v>
      </c>
      <c r="B45" s="294" t="s">
        <v>123</v>
      </c>
      <c r="C45" s="498">
        <v>45407.96</v>
      </c>
      <c r="D45" s="498">
        <v>736.2</v>
      </c>
      <c r="E45" s="498">
        <v>61657.29</v>
      </c>
      <c r="F45" s="498">
        <v>632.97</v>
      </c>
      <c r="G45" s="145">
        <f t="shared" si="1"/>
        <v>16249.330000000002</v>
      </c>
      <c r="H45" s="146">
        <f t="shared" si="1"/>
        <v>-103.23000000000002</v>
      </c>
    </row>
    <row r="46" spans="1:8" x14ac:dyDescent="0.25">
      <c r="A46" s="31">
        <f t="shared" si="0"/>
        <v>41</v>
      </c>
      <c r="B46" s="294" t="s">
        <v>122</v>
      </c>
      <c r="C46" s="498">
        <v>62539.77</v>
      </c>
      <c r="D46" s="498">
        <v>17287.240000000002</v>
      </c>
      <c r="E46" s="498">
        <v>78720.070000000007</v>
      </c>
      <c r="F46" s="498">
        <v>13638.94</v>
      </c>
      <c r="G46" s="145">
        <f t="shared" si="1"/>
        <v>16180.30000000001</v>
      </c>
      <c r="H46" s="146">
        <f t="shared" si="1"/>
        <v>-3648.3000000000011</v>
      </c>
    </row>
    <row r="47" spans="1:8" x14ac:dyDescent="0.25">
      <c r="A47" s="31">
        <f t="shared" si="0"/>
        <v>42</v>
      </c>
      <c r="B47" s="467" t="s">
        <v>1158</v>
      </c>
      <c r="C47" s="498">
        <v>620678.6</v>
      </c>
      <c r="D47" s="498">
        <v>34038.36</v>
      </c>
      <c r="E47" s="498">
        <v>665646.31999999995</v>
      </c>
      <c r="F47" s="498">
        <v>88638.05</v>
      </c>
      <c r="G47" s="145">
        <f t="shared" si="1"/>
        <v>44967.719999999972</v>
      </c>
      <c r="H47" s="146">
        <f t="shared" si="1"/>
        <v>54599.69</v>
      </c>
    </row>
    <row r="48" spans="1:8" x14ac:dyDescent="0.25">
      <c r="A48" s="31">
        <f t="shared" si="0"/>
        <v>43</v>
      </c>
      <c r="B48" s="294" t="s">
        <v>124</v>
      </c>
      <c r="C48" s="498">
        <v>47384.44</v>
      </c>
      <c r="D48" s="498">
        <v>4562.09</v>
      </c>
      <c r="E48" s="498">
        <v>87478.6</v>
      </c>
      <c r="F48" s="498">
        <v>5675.9</v>
      </c>
      <c r="G48" s="145">
        <f t="shared" si="1"/>
        <v>40094.160000000003</v>
      </c>
      <c r="H48" s="146">
        <f t="shared" si="1"/>
        <v>1113.8099999999995</v>
      </c>
    </row>
    <row r="49" spans="1:8" x14ac:dyDescent="0.25">
      <c r="A49" s="31">
        <f t="shared" si="0"/>
        <v>44</v>
      </c>
      <c r="B49" s="294" t="s">
        <v>805</v>
      </c>
      <c r="C49" s="498">
        <v>164166.71</v>
      </c>
      <c r="D49" s="498">
        <v>27168.12</v>
      </c>
      <c r="E49" s="498">
        <v>131868.21</v>
      </c>
      <c r="F49" s="498">
        <v>32033.38</v>
      </c>
      <c r="G49" s="145">
        <f t="shared" si="1"/>
        <v>-32298.5</v>
      </c>
      <c r="H49" s="146">
        <f t="shared" si="1"/>
        <v>4865.260000000002</v>
      </c>
    </row>
    <row r="50" spans="1:8" x14ac:dyDescent="0.25">
      <c r="A50" s="31">
        <f t="shared" si="0"/>
        <v>45</v>
      </c>
      <c r="B50" s="294" t="s">
        <v>125</v>
      </c>
      <c r="C50" s="498">
        <v>57820.97</v>
      </c>
      <c r="D50" s="498">
        <v>10308.77</v>
      </c>
      <c r="E50" s="498">
        <v>66929.899999999994</v>
      </c>
      <c r="F50" s="498">
        <v>261854.01</v>
      </c>
      <c r="G50" s="145">
        <f t="shared" si="1"/>
        <v>9108.929999999993</v>
      </c>
      <c r="H50" s="146">
        <f t="shared" si="1"/>
        <v>251545.24000000002</v>
      </c>
    </row>
    <row r="51" spans="1:8" x14ac:dyDescent="0.25">
      <c r="A51" s="31">
        <f t="shared" si="0"/>
        <v>46</v>
      </c>
      <c r="B51" s="294" t="s">
        <v>806</v>
      </c>
      <c r="C51" s="498">
        <v>52731.97</v>
      </c>
      <c r="D51" s="498">
        <v>9165.44</v>
      </c>
      <c r="E51" s="498">
        <v>44107.53</v>
      </c>
      <c r="F51" s="498">
        <v>13664.1</v>
      </c>
      <c r="G51" s="145">
        <f t="shared" si="1"/>
        <v>-8624.4400000000023</v>
      </c>
      <c r="H51" s="146">
        <f t="shared" si="1"/>
        <v>4498.66</v>
      </c>
    </row>
    <row r="52" spans="1:8" x14ac:dyDescent="0.25">
      <c r="A52" s="31">
        <f t="shared" si="0"/>
        <v>47</v>
      </c>
      <c r="B52" s="294" t="s">
        <v>807</v>
      </c>
      <c r="C52" s="498">
        <v>43132.21</v>
      </c>
      <c r="D52" s="498">
        <v>13041.6</v>
      </c>
      <c r="E52" s="498">
        <v>46756.78</v>
      </c>
      <c r="F52" s="498">
        <v>6776.24</v>
      </c>
      <c r="G52" s="145">
        <f t="shared" si="1"/>
        <v>3624.5699999999997</v>
      </c>
      <c r="H52" s="146">
        <f t="shared" si="1"/>
        <v>-6265.3600000000006</v>
      </c>
    </row>
    <row r="53" spans="1:8" x14ac:dyDescent="0.25">
      <c r="A53" s="31">
        <f t="shared" si="0"/>
        <v>48</v>
      </c>
      <c r="B53" s="294" t="s">
        <v>126</v>
      </c>
      <c r="C53" s="498">
        <v>231352.12</v>
      </c>
      <c r="D53" s="498">
        <v>14699.19</v>
      </c>
      <c r="E53" s="498">
        <v>186427.28</v>
      </c>
      <c r="F53" s="498">
        <v>24849.09</v>
      </c>
      <c r="G53" s="145">
        <f t="shared" si="1"/>
        <v>-44924.84</v>
      </c>
      <c r="H53" s="146">
        <f t="shared" si="1"/>
        <v>10149.9</v>
      </c>
    </row>
    <row r="54" spans="1:8" x14ac:dyDescent="0.25">
      <c r="A54" s="31">
        <f t="shared" si="0"/>
        <v>49</v>
      </c>
      <c r="B54" s="294" t="s">
        <v>127</v>
      </c>
      <c r="C54" s="498">
        <v>243146.3</v>
      </c>
      <c r="D54" s="498">
        <v>6300</v>
      </c>
      <c r="E54" s="498">
        <v>8054.61</v>
      </c>
      <c r="F54" s="498">
        <v>123.94</v>
      </c>
      <c r="G54" s="145">
        <f t="shared" si="1"/>
        <v>-235091.69</v>
      </c>
      <c r="H54" s="146">
        <f t="shared" si="1"/>
        <v>-6176.06</v>
      </c>
    </row>
    <row r="55" spans="1:8" x14ac:dyDescent="0.25">
      <c r="A55" s="31">
        <f t="shared" si="0"/>
        <v>50</v>
      </c>
      <c r="B55" s="294" t="s">
        <v>912</v>
      </c>
      <c r="C55" s="498">
        <v>265975.71000000002</v>
      </c>
      <c r="D55" s="498">
        <v>10965.88</v>
      </c>
      <c r="E55" s="498">
        <v>257895.03</v>
      </c>
      <c r="F55" s="498">
        <v>7768.43</v>
      </c>
      <c r="G55" s="145">
        <f t="shared" si="1"/>
        <v>-8080.6800000000221</v>
      </c>
      <c r="H55" s="146">
        <f t="shared" si="1"/>
        <v>-3197.4499999999989</v>
      </c>
    </row>
    <row r="56" spans="1:8" x14ac:dyDescent="0.25">
      <c r="A56" s="31">
        <f t="shared" si="0"/>
        <v>51</v>
      </c>
      <c r="B56" s="294" t="s">
        <v>100</v>
      </c>
      <c r="C56" s="498">
        <v>77616.820000000007</v>
      </c>
      <c r="D56" s="498">
        <v>1598.57</v>
      </c>
      <c r="E56" s="498">
        <v>62114.13</v>
      </c>
      <c r="F56" s="498">
        <v>5450.44</v>
      </c>
      <c r="G56" s="145">
        <f t="shared" si="1"/>
        <v>-15502.69000000001</v>
      </c>
      <c r="H56" s="146">
        <f t="shared" si="1"/>
        <v>3851.87</v>
      </c>
    </row>
    <row r="57" spans="1:8" x14ac:dyDescent="0.25">
      <c r="A57" s="31">
        <f t="shared" si="0"/>
        <v>52</v>
      </c>
      <c r="B57" s="294" t="s">
        <v>101</v>
      </c>
      <c r="C57" s="498">
        <v>5106.2</v>
      </c>
      <c r="D57" s="498">
        <v>810.3</v>
      </c>
      <c r="E57" s="498">
        <v>2331.5</v>
      </c>
      <c r="F57" s="498">
        <v>0</v>
      </c>
      <c r="G57" s="145">
        <f t="shared" si="1"/>
        <v>-2774.7</v>
      </c>
      <c r="H57" s="146">
        <f t="shared" si="1"/>
        <v>-810.3</v>
      </c>
    </row>
    <row r="58" spans="1:8" ht="47.25" x14ac:dyDescent="0.25">
      <c r="A58" s="31">
        <f t="shared" si="0"/>
        <v>53</v>
      </c>
      <c r="B58" s="585" t="s">
        <v>1011</v>
      </c>
      <c r="C58" s="498">
        <v>1774381.33</v>
      </c>
      <c r="D58" s="498">
        <v>241842.84</v>
      </c>
      <c r="E58" s="498">
        <v>2027827.81</v>
      </c>
      <c r="F58" s="498">
        <v>484985.51</v>
      </c>
      <c r="G58" s="145">
        <f t="shared" si="1"/>
        <v>253446.47999999998</v>
      </c>
      <c r="H58" s="146">
        <f t="shared" si="1"/>
        <v>243142.67</v>
      </c>
    </row>
    <row r="59" spans="1:8" x14ac:dyDescent="0.25">
      <c r="A59" s="31">
        <f t="shared" si="0"/>
        <v>54</v>
      </c>
      <c r="B59" s="585" t="s">
        <v>1000</v>
      </c>
      <c r="C59" s="498">
        <v>1331698.3</v>
      </c>
      <c r="D59" s="498">
        <v>252612.31</v>
      </c>
      <c r="E59" s="498">
        <v>1338097.49</v>
      </c>
      <c r="F59" s="498">
        <v>260707.15</v>
      </c>
      <c r="G59" s="145">
        <f t="shared" si="1"/>
        <v>6399.1899999999441</v>
      </c>
      <c r="H59" s="146">
        <f t="shared" si="1"/>
        <v>8094.8399999999965</v>
      </c>
    </row>
    <row r="60" spans="1:8" x14ac:dyDescent="0.25">
      <c r="A60" s="31">
        <f t="shared" si="0"/>
        <v>55</v>
      </c>
      <c r="B60" s="296" t="s">
        <v>1194</v>
      </c>
      <c r="C60" s="516">
        <f>C61+C62</f>
        <v>35161888.649999999</v>
      </c>
      <c r="D60" s="516">
        <f>D61+D62</f>
        <v>3006679.28</v>
      </c>
      <c r="E60" s="516">
        <f>E61+E62</f>
        <v>36290079.619999997</v>
      </c>
      <c r="F60" s="516">
        <f>F61+F62</f>
        <v>3115301.49</v>
      </c>
      <c r="G60" s="61">
        <f t="shared" si="1"/>
        <v>1128190.9699999988</v>
      </c>
      <c r="H60" s="138">
        <f t="shared" si="1"/>
        <v>108622.21000000043</v>
      </c>
    </row>
    <row r="61" spans="1:8" x14ac:dyDescent="0.25">
      <c r="A61" s="31">
        <f t="shared" si="0"/>
        <v>56</v>
      </c>
      <c r="B61" s="294" t="s">
        <v>1195</v>
      </c>
      <c r="C61" s="498">
        <v>34468397.759999998</v>
      </c>
      <c r="D61" s="498">
        <v>2616145.8199999998</v>
      </c>
      <c r="E61" s="498">
        <v>35481329.25</v>
      </c>
      <c r="F61" s="498">
        <v>2611605.91</v>
      </c>
      <c r="G61" s="145">
        <f t="shared" si="1"/>
        <v>1012931.4900000021</v>
      </c>
      <c r="H61" s="146">
        <f t="shared" si="1"/>
        <v>-4539.9099999996834</v>
      </c>
    </row>
    <row r="62" spans="1:8" x14ac:dyDescent="0.25">
      <c r="A62" s="31">
        <f t="shared" si="0"/>
        <v>57</v>
      </c>
      <c r="B62" s="296" t="s">
        <v>1196</v>
      </c>
      <c r="C62" s="516">
        <f>SUM(C63:C65)</f>
        <v>693490.89</v>
      </c>
      <c r="D62" s="516">
        <f>SUM(D63:D65)</f>
        <v>390533.46</v>
      </c>
      <c r="E62" s="516">
        <f>SUM(E63:E65)</f>
        <v>808750.37</v>
      </c>
      <c r="F62" s="516">
        <f>SUM(F63:F65)</f>
        <v>503695.58</v>
      </c>
      <c r="G62" s="61">
        <f t="shared" si="1"/>
        <v>115259.47999999998</v>
      </c>
      <c r="H62" s="138">
        <f t="shared" si="1"/>
        <v>113162.12</v>
      </c>
    </row>
    <row r="63" spans="1:8" s="133" customFormat="1" x14ac:dyDescent="0.2">
      <c r="A63" s="31">
        <f t="shared" si="0"/>
        <v>58</v>
      </c>
      <c r="B63" s="300" t="s">
        <v>13</v>
      </c>
      <c r="C63" s="586">
        <v>646425.38</v>
      </c>
      <c r="D63" s="586">
        <v>351982.4</v>
      </c>
      <c r="E63" s="586">
        <v>723775.99</v>
      </c>
      <c r="F63" s="586">
        <v>438998.59</v>
      </c>
      <c r="G63" s="145">
        <f t="shared" si="1"/>
        <v>77350.609999999986</v>
      </c>
      <c r="H63" s="146">
        <f t="shared" si="1"/>
        <v>87016.19</v>
      </c>
    </row>
    <row r="64" spans="1:8" ht="31.5" x14ac:dyDescent="0.25">
      <c r="A64" s="31">
        <f t="shared" si="0"/>
        <v>59</v>
      </c>
      <c r="B64" s="300" t="s">
        <v>14</v>
      </c>
      <c r="C64" s="498">
        <v>9177.9</v>
      </c>
      <c r="D64" s="498">
        <v>898.45</v>
      </c>
      <c r="E64" s="498">
        <v>50816.98</v>
      </c>
      <c r="F64" s="498">
        <v>21560.53</v>
      </c>
      <c r="G64" s="145">
        <f t="shared" si="1"/>
        <v>41639.08</v>
      </c>
      <c r="H64" s="146">
        <f t="shared" si="1"/>
        <v>20662.079999999998</v>
      </c>
    </row>
    <row r="65" spans="1:8" x14ac:dyDescent="0.25">
      <c r="A65" s="31">
        <f t="shared" si="0"/>
        <v>60</v>
      </c>
      <c r="B65" s="294" t="s">
        <v>243</v>
      </c>
      <c r="C65" s="498">
        <v>37887.61</v>
      </c>
      <c r="D65" s="498">
        <v>37652.61</v>
      </c>
      <c r="E65" s="498">
        <v>34157.4</v>
      </c>
      <c r="F65" s="498">
        <v>43136.46</v>
      </c>
      <c r="G65" s="145">
        <f t="shared" si="1"/>
        <v>-3730.2099999999991</v>
      </c>
      <c r="H65" s="146">
        <f t="shared" si="1"/>
        <v>5483.8499999999985</v>
      </c>
    </row>
    <row r="66" spans="1:8" x14ac:dyDescent="0.25">
      <c r="A66" s="31">
        <f t="shared" si="0"/>
        <v>61</v>
      </c>
      <c r="B66" s="296" t="s">
        <v>178</v>
      </c>
      <c r="C66" s="498">
        <v>12006894.43</v>
      </c>
      <c r="D66" s="498">
        <v>986373.36</v>
      </c>
      <c r="E66" s="498">
        <v>12371547.52</v>
      </c>
      <c r="F66" s="498">
        <v>1008746.06</v>
      </c>
      <c r="G66" s="145">
        <f t="shared" si="1"/>
        <v>364653.08999999985</v>
      </c>
      <c r="H66" s="146">
        <f t="shared" si="1"/>
        <v>22372.70000000007</v>
      </c>
    </row>
    <row r="67" spans="1:8" x14ac:dyDescent="0.25">
      <c r="A67" s="31">
        <f t="shared" si="0"/>
        <v>62</v>
      </c>
      <c r="B67" s="296" t="s">
        <v>29</v>
      </c>
      <c r="C67" s="498">
        <v>274846.93</v>
      </c>
      <c r="D67" s="498">
        <v>6523.72</v>
      </c>
      <c r="E67" s="498">
        <v>290507.21000000002</v>
      </c>
      <c r="F67" s="498">
        <v>6845.06</v>
      </c>
      <c r="G67" s="145">
        <f t="shared" si="1"/>
        <v>15660.280000000028</v>
      </c>
      <c r="H67" s="146">
        <f t="shared" si="1"/>
        <v>321.34000000000015</v>
      </c>
    </row>
    <row r="68" spans="1:8" ht="18.75" customHeight="1" x14ac:dyDescent="0.25">
      <c r="A68" s="31">
        <f t="shared" si="0"/>
        <v>63</v>
      </c>
      <c r="B68" s="296" t="s">
        <v>1197</v>
      </c>
      <c r="C68" s="516">
        <f>SUM(C69:C74)</f>
        <v>1282797.19</v>
      </c>
      <c r="D68" s="516">
        <f>SUM(D69:D74)</f>
        <v>62581.759999999995</v>
      </c>
      <c r="E68" s="516">
        <f>SUM(E69:E74)</f>
        <v>1323742.1300000001</v>
      </c>
      <c r="F68" s="516">
        <f>SUM(F69:F74)</f>
        <v>75202.880000000005</v>
      </c>
      <c r="G68" s="61">
        <f t="shared" si="1"/>
        <v>40944.940000000177</v>
      </c>
      <c r="H68" s="138">
        <f t="shared" si="1"/>
        <v>12621.12000000001</v>
      </c>
    </row>
    <row r="69" spans="1:8" x14ac:dyDescent="0.25">
      <c r="A69" s="31">
        <f t="shared" si="0"/>
        <v>64</v>
      </c>
      <c r="B69" s="294" t="s">
        <v>88</v>
      </c>
      <c r="C69" s="498">
        <v>377431.76</v>
      </c>
      <c r="D69" s="498">
        <v>24542.6</v>
      </c>
      <c r="E69" s="498">
        <v>386378.35</v>
      </c>
      <c r="F69" s="498">
        <v>32826.29</v>
      </c>
      <c r="G69" s="145">
        <f t="shared" si="1"/>
        <v>8946.5899999999674</v>
      </c>
      <c r="H69" s="146">
        <f t="shared" si="1"/>
        <v>8283.6900000000023</v>
      </c>
    </row>
    <row r="70" spans="1:8" x14ac:dyDescent="0.25">
      <c r="A70" s="31">
        <f t="shared" si="0"/>
        <v>65</v>
      </c>
      <c r="B70" s="294" t="s">
        <v>974</v>
      </c>
      <c r="C70" s="498">
        <v>663775.31000000006</v>
      </c>
      <c r="D70" s="498">
        <v>23683.19</v>
      </c>
      <c r="E70" s="498">
        <v>695797.75</v>
      </c>
      <c r="F70" s="498">
        <v>21206.54</v>
      </c>
      <c r="G70" s="145">
        <f t="shared" si="1"/>
        <v>32022.439999999944</v>
      </c>
      <c r="H70" s="146">
        <f t="shared" si="1"/>
        <v>-2476.6499999999978</v>
      </c>
    </row>
    <row r="71" spans="1:8" x14ac:dyDescent="0.25">
      <c r="A71" s="31">
        <f t="shared" si="0"/>
        <v>66</v>
      </c>
      <c r="B71" s="294" t="s">
        <v>128</v>
      </c>
      <c r="C71" s="498">
        <v>159082.70000000001</v>
      </c>
      <c r="D71" s="498">
        <v>9883</v>
      </c>
      <c r="E71" s="498">
        <v>136732.96</v>
      </c>
      <c r="F71" s="498">
        <v>14023.5</v>
      </c>
      <c r="G71" s="145">
        <f t="shared" si="1"/>
        <v>-22349.74000000002</v>
      </c>
      <c r="H71" s="146">
        <f t="shared" si="1"/>
        <v>4140.5</v>
      </c>
    </row>
    <row r="72" spans="1:8" x14ac:dyDescent="0.25">
      <c r="A72" s="31">
        <f t="shared" ref="A72:A102" si="2">A71+1</f>
        <v>67</v>
      </c>
      <c r="B72" s="294" t="s">
        <v>129</v>
      </c>
      <c r="C72" s="498">
        <v>76362.210000000006</v>
      </c>
      <c r="D72" s="498">
        <v>4002.43</v>
      </c>
      <c r="E72" s="498">
        <v>97228.07</v>
      </c>
      <c r="F72" s="498">
        <v>6104.11</v>
      </c>
      <c r="G72" s="145">
        <f t="shared" ref="G72:H101" si="3">E72-C72</f>
        <v>20865.86</v>
      </c>
      <c r="H72" s="146">
        <f t="shared" si="3"/>
        <v>2101.6799999999998</v>
      </c>
    </row>
    <row r="73" spans="1:8" x14ac:dyDescent="0.25">
      <c r="A73" s="31">
        <f t="shared" si="2"/>
        <v>68</v>
      </c>
      <c r="B73" s="294" t="s">
        <v>130</v>
      </c>
      <c r="C73" s="498">
        <v>6145.21</v>
      </c>
      <c r="D73" s="498">
        <v>360.54</v>
      </c>
      <c r="E73" s="498">
        <v>7605</v>
      </c>
      <c r="F73" s="498">
        <v>982.44</v>
      </c>
      <c r="G73" s="145">
        <f t="shared" si="3"/>
        <v>1459.79</v>
      </c>
      <c r="H73" s="146">
        <f t="shared" si="3"/>
        <v>621.90000000000009</v>
      </c>
    </row>
    <row r="74" spans="1:8" x14ac:dyDescent="0.25">
      <c r="A74" s="31">
        <f t="shared" si="2"/>
        <v>69</v>
      </c>
      <c r="B74" s="294" t="s">
        <v>131</v>
      </c>
      <c r="C74" s="498">
        <v>0</v>
      </c>
      <c r="D74" s="498">
        <v>110</v>
      </c>
      <c r="E74" s="498">
        <v>0</v>
      </c>
      <c r="F74" s="498">
        <v>60</v>
      </c>
      <c r="G74" s="145">
        <f t="shared" si="3"/>
        <v>0</v>
      </c>
      <c r="H74" s="146">
        <f t="shared" si="3"/>
        <v>-50</v>
      </c>
    </row>
    <row r="75" spans="1:8" x14ac:dyDescent="0.25">
      <c r="A75" s="31">
        <f t="shared" si="2"/>
        <v>70</v>
      </c>
      <c r="B75" s="296" t="s">
        <v>43</v>
      </c>
      <c r="C75" s="498">
        <v>2399.9699999999998</v>
      </c>
      <c r="D75" s="498">
        <v>3.56</v>
      </c>
      <c r="E75" s="498">
        <v>2612.79</v>
      </c>
      <c r="F75" s="498">
        <v>137.29</v>
      </c>
      <c r="G75" s="145">
        <f t="shared" si="3"/>
        <v>212.82000000000016</v>
      </c>
      <c r="H75" s="146">
        <f t="shared" si="3"/>
        <v>133.72999999999999</v>
      </c>
    </row>
    <row r="76" spans="1:8" x14ac:dyDescent="0.25">
      <c r="A76" s="31">
        <f t="shared" si="2"/>
        <v>71</v>
      </c>
      <c r="B76" s="296" t="s">
        <v>379</v>
      </c>
      <c r="C76" s="498">
        <v>0</v>
      </c>
      <c r="D76" s="498">
        <v>3722.87</v>
      </c>
      <c r="E76" s="498">
        <v>0</v>
      </c>
      <c r="F76" s="498">
        <v>3292.52</v>
      </c>
      <c r="G76" s="145">
        <f t="shared" si="3"/>
        <v>0</v>
      </c>
      <c r="H76" s="146">
        <f t="shared" si="3"/>
        <v>-430.34999999999991</v>
      </c>
    </row>
    <row r="77" spans="1:8" x14ac:dyDescent="0.25">
      <c r="A77" s="31">
        <f t="shared" si="2"/>
        <v>72</v>
      </c>
      <c r="B77" s="296" t="s">
        <v>179</v>
      </c>
      <c r="C77" s="498">
        <v>209878.94</v>
      </c>
      <c r="D77" s="498">
        <v>59775.95</v>
      </c>
      <c r="E77" s="498">
        <v>215124.13</v>
      </c>
      <c r="F77" s="498">
        <v>52412.72</v>
      </c>
      <c r="G77" s="145">
        <f t="shared" si="3"/>
        <v>5245.1900000000023</v>
      </c>
      <c r="H77" s="146">
        <f t="shared" si="3"/>
        <v>-7363.2299999999959</v>
      </c>
    </row>
    <row r="78" spans="1:8" x14ac:dyDescent="0.25">
      <c r="A78" s="31">
        <f t="shared" si="2"/>
        <v>73</v>
      </c>
      <c r="B78" s="296" t="s">
        <v>299</v>
      </c>
      <c r="C78" s="498">
        <v>144764.73000000001</v>
      </c>
      <c r="D78" s="498">
        <v>18993.509999999998</v>
      </c>
      <c r="E78" s="498">
        <v>145376.44</v>
      </c>
      <c r="F78" s="498">
        <v>25088.42</v>
      </c>
      <c r="G78" s="145">
        <f t="shared" si="3"/>
        <v>611.70999999999185</v>
      </c>
      <c r="H78" s="146">
        <f t="shared" si="3"/>
        <v>6094.91</v>
      </c>
    </row>
    <row r="79" spans="1:8" x14ac:dyDescent="0.25">
      <c r="A79" s="31">
        <f t="shared" si="2"/>
        <v>74</v>
      </c>
      <c r="B79" s="296" t="s">
        <v>1198</v>
      </c>
      <c r="C79" s="516">
        <f>C80+C81</f>
        <v>5578023.2400000012</v>
      </c>
      <c r="D79" s="516">
        <f>D80+D81</f>
        <v>353143.36000000004</v>
      </c>
      <c r="E79" s="516">
        <f>E80+E81</f>
        <v>5502761.9199999999</v>
      </c>
      <c r="F79" s="516">
        <f>F80+F81</f>
        <v>371885.6</v>
      </c>
      <c r="G79" s="61">
        <f t="shared" si="3"/>
        <v>-75261.320000001229</v>
      </c>
      <c r="H79" s="138">
        <f t="shared" si="3"/>
        <v>18742.239999999932</v>
      </c>
    </row>
    <row r="80" spans="1:8" ht="16.5" customHeight="1" x14ac:dyDescent="0.25">
      <c r="A80" s="31">
        <f t="shared" si="2"/>
        <v>75</v>
      </c>
      <c r="B80" s="296" t="s">
        <v>913</v>
      </c>
      <c r="C80" s="506">
        <v>66963.44</v>
      </c>
      <c r="D80" s="506">
        <v>17948.400000000001</v>
      </c>
      <c r="E80" s="506">
        <v>90084.9</v>
      </c>
      <c r="F80" s="506">
        <v>26925.3</v>
      </c>
      <c r="G80" s="145">
        <f t="shared" si="3"/>
        <v>23121.459999999992</v>
      </c>
      <c r="H80" s="146">
        <f t="shared" si="3"/>
        <v>8976.8999999999978</v>
      </c>
    </row>
    <row r="81" spans="1:8" x14ac:dyDescent="0.25">
      <c r="A81" s="31">
        <f t="shared" si="2"/>
        <v>76</v>
      </c>
      <c r="B81" s="296" t="s">
        <v>15</v>
      </c>
      <c r="C81" s="516">
        <f>SUM(C82:C89)</f>
        <v>5511059.8000000007</v>
      </c>
      <c r="D81" s="516">
        <f>SUM(D82:D89)</f>
        <v>335194.96000000002</v>
      </c>
      <c r="E81" s="516">
        <f>SUM(E82:E89)</f>
        <v>5412677.0199999996</v>
      </c>
      <c r="F81" s="516">
        <f>SUM(F82:F89)</f>
        <v>344960.3</v>
      </c>
      <c r="G81" s="61">
        <f t="shared" si="3"/>
        <v>-98382.780000001192</v>
      </c>
      <c r="H81" s="138">
        <f t="shared" si="3"/>
        <v>9765.3399999999674</v>
      </c>
    </row>
    <row r="82" spans="1:8" ht="16.5" customHeight="1" x14ac:dyDescent="0.25">
      <c r="A82" s="31">
        <f t="shared" si="2"/>
        <v>77</v>
      </c>
      <c r="B82" s="294" t="s">
        <v>773</v>
      </c>
      <c r="C82" s="498">
        <v>3392878.99</v>
      </c>
      <c r="D82" s="498">
        <v>0</v>
      </c>
      <c r="E82" s="498">
        <v>3271445.41</v>
      </c>
      <c r="F82" s="498">
        <v>7140.05</v>
      </c>
      <c r="G82" s="145">
        <f t="shared" si="3"/>
        <v>-121433.58000000007</v>
      </c>
      <c r="H82" s="146">
        <f t="shared" si="3"/>
        <v>7140.05</v>
      </c>
    </row>
    <row r="83" spans="1:8" x14ac:dyDescent="0.25">
      <c r="A83" s="31">
        <f t="shared" si="2"/>
        <v>78</v>
      </c>
      <c r="B83" s="294" t="s">
        <v>132</v>
      </c>
      <c r="C83" s="498">
        <v>13281.31</v>
      </c>
      <c r="D83" s="498">
        <v>1056.48</v>
      </c>
      <c r="E83" s="498">
        <v>12899.03</v>
      </c>
      <c r="F83" s="498">
        <v>1073.44</v>
      </c>
      <c r="G83" s="145">
        <f t="shared" si="3"/>
        <v>-382.27999999999884</v>
      </c>
      <c r="H83" s="146">
        <f t="shared" si="3"/>
        <v>16.960000000000036</v>
      </c>
    </row>
    <row r="84" spans="1:8" x14ac:dyDescent="0.25">
      <c r="A84" s="31">
        <f t="shared" si="2"/>
        <v>79</v>
      </c>
      <c r="B84" s="294" t="s">
        <v>133</v>
      </c>
      <c r="C84" s="498">
        <v>0</v>
      </c>
      <c r="D84" s="498">
        <v>0</v>
      </c>
      <c r="E84" s="498">
        <v>0</v>
      </c>
      <c r="F84" s="498">
        <v>0</v>
      </c>
      <c r="G84" s="145">
        <f t="shared" si="3"/>
        <v>0</v>
      </c>
      <c r="H84" s="146">
        <f t="shared" si="3"/>
        <v>0</v>
      </c>
    </row>
    <row r="85" spans="1:8" ht="31.5" x14ac:dyDescent="0.25">
      <c r="A85" s="31">
        <f t="shared" si="2"/>
        <v>80</v>
      </c>
      <c r="B85" s="585" t="s">
        <v>843</v>
      </c>
      <c r="C85" s="498">
        <v>139863.85</v>
      </c>
      <c r="D85" s="498">
        <v>5939.53</v>
      </c>
      <c r="E85" s="498">
        <v>147878.39000000001</v>
      </c>
      <c r="F85" s="498">
        <v>4691.38</v>
      </c>
      <c r="G85" s="145">
        <f t="shared" si="3"/>
        <v>8014.5400000000081</v>
      </c>
      <c r="H85" s="146">
        <f t="shared" si="3"/>
        <v>-1248.1499999999996</v>
      </c>
    </row>
    <row r="86" spans="1:8" x14ac:dyDescent="0.25">
      <c r="A86" s="31">
        <f t="shared" si="2"/>
        <v>81</v>
      </c>
      <c r="B86" s="294" t="s">
        <v>919</v>
      </c>
      <c r="C86" s="498">
        <v>165275.74</v>
      </c>
      <c r="D86" s="498">
        <v>4450</v>
      </c>
      <c r="E86" s="498">
        <v>210434.28</v>
      </c>
      <c r="F86" s="498">
        <v>24684</v>
      </c>
      <c r="G86" s="145">
        <f t="shared" si="3"/>
        <v>45158.540000000008</v>
      </c>
      <c r="H86" s="146">
        <f t="shared" si="3"/>
        <v>20234</v>
      </c>
    </row>
    <row r="87" spans="1:8" x14ac:dyDescent="0.25">
      <c r="A87" s="31" t="s">
        <v>917</v>
      </c>
      <c r="B87" s="294" t="s">
        <v>916</v>
      </c>
      <c r="C87" s="498">
        <v>33272.42</v>
      </c>
      <c r="D87" s="498">
        <v>0</v>
      </c>
      <c r="E87" s="498">
        <v>0</v>
      </c>
      <c r="F87" s="498">
        <v>0</v>
      </c>
      <c r="G87" s="145">
        <f>E87-C87</f>
        <v>-33272.42</v>
      </c>
      <c r="H87" s="146">
        <f>F87-D87</f>
        <v>0</v>
      </c>
    </row>
    <row r="88" spans="1:8" x14ac:dyDescent="0.25">
      <c r="A88" s="31">
        <f>A86+1</f>
        <v>82</v>
      </c>
      <c r="B88" s="294" t="s">
        <v>921</v>
      </c>
      <c r="C88" s="498">
        <v>985594.24</v>
      </c>
      <c r="D88" s="498">
        <v>304753.09000000003</v>
      </c>
      <c r="E88" s="498">
        <v>920534.14</v>
      </c>
      <c r="F88" s="498">
        <v>283141.51</v>
      </c>
      <c r="G88" s="145">
        <f t="shared" si="3"/>
        <v>-65060.099999999977</v>
      </c>
      <c r="H88" s="146">
        <f t="shared" si="3"/>
        <v>-21611.580000000016</v>
      </c>
    </row>
    <row r="89" spans="1:8" x14ac:dyDescent="0.25">
      <c r="A89" s="31">
        <f t="shared" si="2"/>
        <v>83</v>
      </c>
      <c r="B89" s="585" t="s">
        <v>920</v>
      </c>
      <c r="C89" s="498">
        <v>780893.25</v>
      </c>
      <c r="D89" s="498">
        <v>18995.86</v>
      </c>
      <c r="E89" s="498">
        <v>849485.77</v>
      </c>
      <c r="F89" s="498">
        <v>24229.919999999998</v>
      </c>
      <c r="G89" s="145">
        <f t="shared" si="3"/>
        <v>68592.520000000019</v>
      </c>
      <c r="H89" s="146">
        <f t="shared" si="3"/>
        <v>5234.0599999999977</v>
      </c>
    </row>
    <row r="90" spans="1:8" ht="31.5" x14ac:dyDescent="0.25">
      <c r="A90" s="31">
        <f t="shared" si="2"/>
        <v>84</v>
      </c>
      <c r="B90" s="587" t="s">
        <v>1199</v>
      </c>
      <c r="C90" s="516">
        <f>SUM(C91:C99)</f>
        <v>19241844.890000001</v>
      </c>
      <c r="D90" s="516">
        <f>SUM(D91:D99)</f>
        <v>56880.53</v>
      </c>
      <c r="E90" s="516">
        <f>SUM(E91:E99)</f>
        <v>17912279.850000001</v>
      </c>
      <c r="F90" s="516">
        <f>SUM(F91:F99)</f>
        <v>9954.0500000000011</v>
      </c>
      <c r="G90" s="61">
        <f t="shared" si="3"/>
        <v>-1329565.0399999991</v>
      </c>
      <c r="H90" s="138">
        <f t="shared" si="3"/>
        <v>-46926.479999999996</v>
      </c>
    </row>
    <row r="91" spans="1:8" ht="31.5" customHeight="1" x14ac:dyDescent="0.25">
      <c r="A91" s="31">
        <f t="shared" si="2"/>
        <v>85</v>
      </c>
      <c r="B91" s="294" t="s">
        <v>808</v>
      </c>
      <c r="C91" s="498">
        <v>849982.08</v>
      </c>
      <c r="D91" s="498">
        <v>0</v>
      </c>
      <c r="E91" s="498">
        <v>654677.30000000005</v>
      </c>
      <c r="F91" s="498">
        <v>0</v>
      </c>
      <c r="G91" s="145">
        <f t="shared" si="3"/>
        <v>-195304.77999999991</v>
      </c>
      <c r="H91" s="146">
        <f t="shared" si="3"/>
        <v>0</v>
      </c>
    </row>
    <row r="92" spans="1:8" ht="31.5" x14ac:dyDescent="0.25">
      <c r="A92" s="31">
        <f t="shared" si="2"/>
        <v>86</v>
      </c>
      <c r="B92" s="301" t="s">
        <v>960</v>
      </c>
      <c r="C92" s="498">
        <v>546107.65</v>
      </c>
      <c r="D92" s="498">
        <v>30128.400000000001</v>
      </c>
      <c r="E92" s="498">
        <v>2391118.16</v>
      </c>
      <c r="F92" s="498">
        <v>22745.18</v>
      </c>
      <c r="G92" s="145">
        <f t="shared" si="3"/>
        <v>1845010.5100000002</v>
      </c>
      <c r="H92" s="146">
        <f t="shared" si="3"/>
        <v>-7383.2200000000012</v>
      </c>
    </row>
    <row r="93" spans="1:8" ht="31.5" x14ac:dyDescent="0.25">
      <c r="A93" s="31" t="s">
        <v>706</v>
      </c>
      <c r="B93" s="301" t="s">
        <v>961</v>
      </c>
      <c r="C93" s="498">
        <v>14622876.560000001</v>
      </c>
      <c r="D93" s="498">
        <v>0</v>
      </c>
      <c r="E93" s="498">
        <v>11899073.140000001</v>
      </c>
      <c r="F93" s="498">
        <v>0</v>
      </c>
      <c r="G93" s="145">
        <f>E93-C93</f>
        <v>-2723803.42</v>
      </c>
      <c r="H93" s="146">
        <f>F93-D93</f>
        <v>0</v>
      </c>
    </row>
    <row r="94" spans="1:8" ht="15.75" customHeight="1" x14ac:dyDescent="0.25">
      <c r="A94" s="31">
        <f>A92+1</f>
        <v>87</v>
      </c>
      <c r="B94" s="294" t="s">
        <v>914</v>
      </c>
      <c r="C94" s="498">
        <v>38959.18</v>
      </c>
      <c r="D94" s="498">
        <v>26752.13</v>
      </c>
      <c r="E94" s="498">
        <v>56007.42</v>
      </c>
      <c r="F94" s="498">
        <v>-12791.13</v>
      </c>
      <c r="G94" s="145">
        <f t="shared" si="3"/>
        <v>17048.239999999998</v>
      </c>
      <c r="H94" s="146">
        <f t="shared" si="3"/>
        <v>-39543.26</v>
      </c>
    </row>
    <row r="95" spans="1:8" x14ac:dyDescent="0.25">
      <c r="A95" s="31">
        <f t="shared" si="2"/>
        <v>88</v>
      </c>
      <c r="B95" s="294" t="s">
        <v>161</v>
      </c>
      <c r="C95" s="498">
        <v>0</v>
      </c>
      <c r="D95" s="498">
        <v>0</v>
      </c>
      <c r="E95" s="498">
        <v>0</v>
      </c>
      <c r="F95" s="498">
        <v>0</v>
      </c>
      <c r="G95" s="145">
        <f t="shared" si="3"/>
        <v>0</v>
      </c>
      <c r="H95" s="146">
        <f t="shared" si="3"/>
        <v>0</v>
      </c>
    </row>
    <row r="96" spans="1:8" x14ac:dyDescent="0.25">
      <c r="A96" s="31">
        <f t="shared" si="2"/>
        <v>89</v>
      </c>
      <c r="B96" s="294" t="s">
        <v>162</v>
      </c>
      <c r="C96" s="498">
        <v>3172958.94</v>
      </c>
      <c r="D96" s="498">
        <v>0</v>
      </c>
      <c r="E96" s="498">
        <v>2911403.83</v>
      </c>
      <c r="F96" s="498">
        <v>0</v>
      </c>
      <c r="G96" s="145">
        <f t="shared" si="3"/>
        <v>-261555.10999999987</v>
      </c>
      <c r="H96" s="146">
        <f t="shared" si="3"/>
        <v>0</v>
      </c>
    </row>
    <row r="97" spans="1:8" ht="31.5" x14ac:dyDescent="0.25">
      <c r="A97" s="31">
        <f t="shared" si="2"/>
        <v>90</v>
      </c>
      <c r="B97" s="369" t="s">
        <v>918</v>
      </c>
      <c r="C97" s="498">
        <v>4906.4799999999996</v>
      </c>
      <c r="D97" s="498">
        <v>0</v>
      </c>
      <c r="E97" s="701">
        <v>0</v>
      </c>
      <c r="F97" s="701">
        <v>0</v>
      </c>
      <c r="G97" s="145">
        <f t="shared" si="3"/>
        <v>-4906.4799999999996</v>
      </c>
      <c r="H97" s="146">
        <f t="shared" si="3"/>
        <v>0</v>
      </c>
    </row>
    <row r="98" spans="1:8" ht="32.25" customHeight="1" x14ac:dyDescent="0.25">
      <c r="A98" s="31">
        <f t="shared" si="2"/>
        <v>91</v>
      </c>
      <c r="B98" s="45" t="s">
        <v>856</v>
      </c>
      <c r="C98" s="498">
        <v>6054</v>
      </c>
      <c r="D98" s="498">
        <v>0</v>
      </c>
      <c r="E98" s="498">
        <v>0</v>
      </c>
      <c r="F98" s="498">
        <v>0</v>
      </c>
      <c r="G98" s="145">
        <f>E98-C98</f>
        <v>-6054</v>
      </c>
      <c r="H98" s="146">
        <f>F98-D98</f>
        <v>0</v>
      </c>
    </row>
    <row r="99" spans="1:8" ht="16.5" customHeight="1" x14ac:dyDescent="0.25">
      <c r="A99" s="31">
        <f>A98+1</f>
        <v>92</v>
      </c>
      <c r="B99" s="294" t="s">
        <v>850</v>
      </c>
      <c r="C99" s="498">
        <v>0</v>
      </c>
      <c r="D99" s="498">
        <v>0</v>
      </c>
      <c r="E99" s="498">
        <v>0</v>
      </c>
      <c r="F99" s="498">
        <v>0</v>
      </c>
      <c r="G99" s="145">
        <f t="shared" si="3"/>
        <v>0</v>
      </c>
      <c r="H99" s="146">
        <f t="shared" si="3"/>
        <v>0</v>
      </c>
    </row>
    <row r="100" spans="1:8" ht="16.5" customHeight="1" x14ac:dyDescent="0.25">
      <c r="A100" s="31">
        <f t="shared" si="2"/>
        <v>93</v>
      </c>
      <c r="B100" s="296" t="s">
        <v>975</v>
      </c>
      <c r="C100" s="498">
        <v>293987.53000000003</v>
      </c>
      <c r="D100" s="498">
        <v>770</v>
      </c>
      <c r="E100" s="498">
        <v>232901.39</v>
      </c>
      <c r="F100" s="498">
        <v>670</v>
      </c>
      <c r="G100" s="145">
        <f t="shared" si="3"/>
        <v>-61086.140000000014</v>
      </c>
      <c r="H100" s="146">
        <f t="shared" si="3"/>
        <v>-100</v>
      </c>
    </row>
    <row r="101" spans="1:8" x14ac:dyDescent="0.25">
      <c r="A101" s="31">
        <f>A100+1</f>
        <v>94</v>
      </c>
      <c r="B101" s="296" t="s">
        <v>976</v>
      </c>
      <c r="C101" s="498">
        <v>0</v>
      </c>
      <c r="D101" s="498">
        <v>438458.75</v>
      </c>
      <c r="E101" s="498">
        <v>0</v>
      </c>
      <c r="F101" s="498">
        <v>370598.8</v>
      </c>
      <c r="G101" s="145">
        <f t="shared" si="3"/>
        <v>0</v>
      </c>
      <c r="H101" s="146">
        <f t="shared" si="3"/>
        <v>-67859.950000000012</v>
      </c>
    </row>
    <row r="102" spans="1:8" ht="34.5" customHeight="1" thickBot="1" x14ac:dyDescent="0.3">
      <c r="A102" s="32">
        <f t="shared" si="2"/>
        <v>95</v>
      </c>
      <c r="B102" s="588" t="s">
        <v>1200</v>
      </c>
      <c r="C102" s="385">
        <f>C6+C19+C27+C32+C40+C43+C44+C60+C66+C67+C68+C75+C76+C77+C78+C79+C90+C100+C101</f>
        <v>92290515.179999992</v>
      </c>
      <c r="D102" s="385">
        <f>D6+D19+D27+D32+D40+D43+D44+D60+D66+D67+D68+D75+D76+D77+D78+D79+D90+D100+D101</f>
        <v>7289836.46</v>
      </c>
      <c r="E102" s="385">
        <f>E6+E19+E27+E32+E40+E43+E44+E60+E66+E67+E68+E75+E76+E77+E78+E79+E90+E100+E101</f>
        <v>92916851.899999991</v>
      </c>
      <c r="F102" s="385">
        <f>F6+F19+F27+F32+F40+F43+F44+F60+F66+F67+F68+F75+F76+F77+F78+F79+F90+F100+F101</f>
        <v>7704845.3999999985</v>
      </c>
      <c r="G102" s="62">
        <f>E102-C102</f>
        <v>626336.71999999881</v>
      </c>
      <c r="H102" s="141">
        <f>F102-D102</f>
        <v>415008.93999999855</v>
      </c>
    </row>
    <row r="103" spans="1:8" x14ac:dyDescent="0.25">
      <c r="A103" s="4"/>
      <c r="D103" s="363">
        <f>C102+D102-C101-D101</f>
        <v>99141892.889999986</v>
      </c>
      <c r="E103" s="364"/>
      <c r="F103" s="363">
        <f>E102+F102-E101-F101</f>
        <v>100251098.49999999</v>
      </c>
    </row>
    <row r="104" spans="1:8" x14ac:dyDescent="0.25">
      <c r="E104" s="573"/>
      <c r="F104" s="573"/>
      <c r="G104" s="573"/>
      <c r="H104" s="573"/>
    </row>
    <row r="105" spans="1:8" ht="31.5" x14ac:dyDescent="0.25">
      <c r="A105" s="295" t="s">
        <v>809</v>
      </c>
      <c r="B105" s="589" t="s">
        <v>977</v>
      </c>
      <c r="D105" s="331"/>
      <c r="E105" s="331"/>
      <c r="F105" s="331"/>
      <c r="G105" s="331"/>
      <c r="H105" s="331"/>
    </row>
    <row r="960" spans="6:6" x14ac:dyDescent="0.25">
      <c r="F960" s="1" t="s">
        <v>383</v>
      </c>
    </row>
    <row r="979" spans="4:4" x14ac:dyDescent="0.25">
      <c r="D979" s="1" t="s">
        <v>382</v>
      </c>
    </row>
  </sheetData>
  <mergeCells count="7">
    <mergeCell ref="A1:H1"/>
    <mergeCell ref="A2:H2"/>
    <mergeCell ref="A3:A4"/>
    <mergeCell ref="B3:B4"/>
    <mergeCell ref="C3:D3"/>
    <mergeCell ref="E3:F3"/>
    <mergeCell ref="G3:H3"/>
  </mergeCells>
  <printOptions gridLines="1"/>
  <pageMargins left="0.74803149606299213" right="0.63" top="0.64" bottom="0.39370078740157483" header="0.39370078740157483" footer="0.23622047244094491"/>
  <pageSetup paperSize="9" scale="61" fitToWidth="3" fitToHeight="3" orientation="landscape" r:id="rId1"/>
  <headerFooter alignWithMargins="0">
    <oddFooter xml:space="preserve">&amp;C &amp;P z &amp;N  </oddFooter>
  </headerFooter>
  <rowBreaks count="2" manualBreakCount="2">
    <brk id="39" max="7" man="1"/>
    <brk id="7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O37"/>
  <sheetViews>
    <sheetView zoomScaleNormal="100" workbookViewId="0">
      <pane xSplit="2" ySplit="6" topLeftCell="C31" activePane="bottomRight" state="frozen"/>
      <selection pane="topRight" activeCell="C1" sqref="C1"/>
      <selection pane="bottomLeft" activeCell="A7" sqref="A7"/>
      <selection pane="bottomRight" activeCell="K36" sqref="K36"/>
    </sheetView>
  </sheetViews>
  <sheetFormatPr defaultColWidth="9.140625" defaultRowHeight="15.75" x14ac:dyDescent="0.2"/>
  <cols>
    <col min="1" max="1" width="5.5703125" style="22" customWidth="1"/>
    <col min="2" max="2" width="65.425781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3" width="9.85546875" style="18" customWidth="1"/>
    <col min="14" max="14" width="9.140625" style="18" customWidth="1"/>
    <col min="15" max="16384" width="9.140625" style="18"/>
  </cols>
  <sheetData>
    <row r="1" spans="1:15" ht="35.1" customHeight="1" thickBot="1" x14ac:dyDescent="0.25">
      <c r="A1" s="765" t="s">
        <v>1104</v>
      </c>
      <c r="B1" s="766"/>
      <c r="C1" s="766"/>
      <c r="D1" s="766"/>
      <c r="E1" s="766"/>
      <c r="F1" s="766"/>
      <c r="G1" s="766"/>
      <c r="H1" s="766"/>
      <c r="I1" s="766"/>
      <c r="J1" s="766"/>
      <c r="K1" s="766"/>
    </row>
    <row r="2" spans="1:15" ht="35.450000000000003" customHeight="1" thickBot="1" x14ac:dyDescent="0.25">
      <c r="A2" s="752" t="s">
        <v>1259</v>
      </c>
      <c r="B2" s="753"/>
      <c r="C2" s="753"/>
      <c r="D2" s="753"/>
      <c r="E2" s="753"/>
      <c r="F2" s="753"/>
      <c r="G2" s="753"/>
      <c r="H2" s="753"/>
      <c r="I2" s="753"/>
      <c r="J2" s="753"/>
      <c r="K2" s="754"/>
      <c r="L2" s="431"/>
      <c r="M2" s="431"/>
      <c r="N2" s="431"/>
    </row>
    <row r="3" spans="1:15" ht="42.75" customHeight="1" x14ac:dyDescent="0.2">
      <c r="A3" s="782" t="s">
        <v>205</v>
      </c>
      <c r="B3" s="745" t="s">
        <v>233</v>
      </c>
      <c r="C3" s="771" t="s">
        <v>1105</v>
      </c>
      <c r="D3" s="771"/>
      <c r="E3" s="771"/>
      <c r="F3" s="771"/>
      <c r="G3" s="771" t="s">
        <v>743</v>
      </c>
      <c r="H3" s="772" t="s">
        <v>303</v>
      </c>
      <c r="I3" s="771" t="s">
        <v>745</v>
      </c>
      <c r="J3" s="767" t="s">
        <v>746</v>
      </c>
      <c r="K3" s="774" t="s">
        <v>844</v>
      </c>
      <c r="L3" s="756" t="s">
        <v>1002</v>
      </c>
      <c r="M3" s="759" t="s">
        <v>1145</v>
      </c>
      <c r="N3" s="762" t="s">
        <v>1003</v>
      </c>
      <c r="O3" s="463"/>
    </row>
    <row r="4" spans="1:15" ht="34.5" customHeight="1" x14ac:dyDescent="0.2">
      <c r="A4" s="783"/>
      <c r="B4" s="781"/>
      <c r="C4" s="777" t="s">
        <v>231</v>
      </c>
      <c r="D4" s="14" t="s">
        <v>303</v>
      </c>
      <c r="E4" s="777" t="s">
        <v>232</v>
      </c>
      <c r="F4" s="777" t="s">
        <v>183</v>
      </c>
      <c r="G4" s="777"/>
      <c r="H4" s="773"/>
      <c r="I4" s="777"/>
      <c r="J4" s="768"/>
      <c r="K4" s="774"/>
      <c r="L4" s="757"/>
      <c r="M4" s="760"/>
      <c r="N4" s="763"/>
      <c r="O4" s="463"/>
    </row>
    <row r="5" spans="1:15" s="75" customFormat="1" ht="63.75" thickBot="1" x14ac:dyDescent="0.25">
      <c r="A5" s="783"/>
      <c r="B5" s="781"/>
      <c r="C5" s="777"/>
      <c r="D5" s="14" t="s">
        <v>694</v>
      </c>
      <c r="E5" s="777"/>
      <c r="F5" s="777"/>
      <c r="G5" s="777"/>
      <c r="H5" s="14" t="s">
        <v>744</v>
      </c>
      <c r="I5" s="777"/>
      <c r="J5" s="768"/>
      <c r="K5" s="775"/>
      <c r="L5" s="758"/>
      <c r="M5" s="761"/>
      <c r="N5" s="764"/>
      <c r="O5" s="465"/>
    </row>
    <row r="6" spans="1:15" s="76" customFormat="1" ht="18" customHeight="1" thickBot="1" x14ac:dyDescent="0.25">
      <c r="A6" s="136"/>
      <c r="B6" s="64"/>
      <c r="C6" s="15" t="s">
        <v>286</v>
      </c>
      <c r="D6" s="15" t="s">
        <v>287</v>
      </c>
      <c r="E6" s="15" t="s">
        <v>288</v>
      </c>
      <c r="F6" s="15" t="s">
        <v>184</v>
      </c>
      <c r="G6" s="15" t="s">
        <v>289</v>
      </c>
      <c r="H6" s="15" t="s">
        <v>290</v>
      </c>
      <c r="I6" s="15" t="s">
        <v>291</v>
      </c>
      <c r="J6" s="313" t="s">
        <v>185</v>
      </c>
      <c r="K6" s="360" t="s">
        <v>845</v>
      </c>
    </row>
    <row r="7" spans="1:15" s="21" customFormat="1" x14ac:dyDescent="0.2">
      <c r="A7" s="29">
        <v>1</v>
      </c>
      <c r="B7" s="44" t="s">
        <v>282</v>
      </c>
      <c r="C7" s="61">
        <f>SUM(C8:C12)</f>
        <v>963.6400000000001</v>
      </c>
      <c r="D7" s="61">
        <f>SUM(D8:D12)</f>
        <v>962.1099999999999</v>
      </c>
      <c r="E7" s="61">
        <f>SUM(E8:E12)</f>
        <v>5.61</v>
      </c>
      <c r="F7" s="61">
        <f t="shared" ref="F7:F13" si="0">C7+E7</f>
        <v>969.25000000000011</v>
      </c>
      <c r="G7" s="61">
        <f>SUM(G8:G12)</f>
        <v>18461520.359999999</v>
      </c>
      <c r="H7" s="61">
        <f>SUM(H8:H12)</f>
        <v>17803120.779999997</v>
      </c>
      <c r="I7" s="61">
        <f>SUM(I8:I12)</f>
        <v>920270.49000000011</v>
      </c>
      <c r="J7" s="151">
        <f t="shared" ref="J7:J13" si="1">G7+I7</f>
        <v>19381790.849999998</v>
      </c>
      <c r="K7" s="358">
        <f>IF(F7=0,0,J7/F7/12)</f>
        <v>1666.390753159659</v>
      </c>
      <c r="L7" s="656">
        <v>1234.83</v>
      </c>
      <c r="M7" s="657">
        <v>1441.47</v>
      </c>
      <c r="N7" s="658">
        <v>1813.42</v>
      </c>
    </row>
    <row r="8" spans="1:15" x14ac:dyDescent="0.2">
      <c r="A8" s="29">
        <v>2</v>
      </c>
      <c r="B8" s="25" t="s">
        <v>846</v>
      </c>
      <c r="C8" s="653">
        <v>161.21</v>
      </c>
      <c r="D8" s="653">
        <v>161.19999999999999</v>
      </c>
      <c r="E8" s="653">
        <v>1.49</v>
      </c>
      <c r="F8" s="61">
        <f t="shared" si="0"/>
        <v>162.70000000000002</v>
      </c>
      <c r="G8" s="655">
        <v>4616685.82</v>
      </c>
      <c r="H8" s="655">
        <v>4345835.8600000003</v>
      </c>
      <c r="I8" s="655">
        <v>315001.2</v>
      </c>
      <c r="J8" s="151">
        <f t="shared" si="1"/>
        <v>4931687.0200000005</v>
      </c>
      <c r="K8" s="358">
        <f t="shared" ref="K8:K30" si="2">IF(F8=0,0,J8/F8/12)</f>
        <v>2525.9613911083793</v>
      </c>
      <c r="L8" s="659">
        <v>1721.89</v>
      </c>
      <c r="M8" s="660">
        <v>2205</v>
      </c>
      <c r="N8" s="661">
        <v>2745.04</v>
      </c>
    </row>
    <row r="9" spans="1:15" x14ac:dyDescent="0.2">
      <c r="A9" s="29">
        <v>3</v>
      </c>
      <c r="B9" s="25" t="s">
        <v>234</v>
      </c>
      <c r="C9" s="653">
        <v>292.13</v>
      </c>
      <c r="D9" s="653">
        <v>291.81</v>
      </c>
      <c r="E9" s="653">
        <v>0.64</v>
      </c>
      <c r="F9" s="61">
        <f t="shared" si="0"/>
        <v>292.77</v>
      </c>
      <c r="G9" s="655">
        <v>5918880.2400000002</v>
      </c>
      <c r="H9" s="655">
        <v>5742209.6200000001</v>
      </c>
      <c r="I9" s="655">
        <v>281515.12</v>
      </c>
      <c r="J9" s="151">
        <f t="shared" si="1"/>
        <v>6200395.3600000003</v>
      </c>
      <c r="K9" s="358">
        <f t="shared" si="2"/>
        <v>1764.8652981293624</v>
      </c>
      <c r="L9" s="659">
        <v>1429.35</v>
      </c>
      <c r="M9" s="660">
        <v>1639.67</v>
      </c>
      <c r="N9" s="661">
        <v>1927.33</v>
      </c>
    </row>
    <row r="10" spans="1:15" x14ac:dyDescent="0.2">
      <c r="A10" s="29">
        <v>4</v>
      </c>
      <c r="B10" s="25" t="s">
        <v>235</v>
      </c>
      <c r="C10" s="653">
        <v>494.54</v>
      </c>
      <c r="D10" s="653">
        <v>493.34</v>
      </c>
      <c r="E10" s="653">
        <v>3.45</v>
      </c>
      <c r="F10" s="61">
        <f t="shared" si="0"/>
        <v>497.99</v>
      </c>
      <c r="G10" s="655">
        <v>7720669.4900000002</v>
      </c>
      <c r="H10" s="655">
        <v>7512540.4900000002</v>
      </c>
      <c r="I10" s="655">
        <v>321986.01</v>
      </c>
      <c r="J10" s="151">
        <f t="shared" si="1"/>
        <v>8042655.5</v>
      </c>
      <c r="K10" s="358">
        <f t="shared" si="2"/>
        <v>1345.8529120397332</v>
      </c>
      <c r="L10" s="659">
        <v>1138.07</v>
      </c>
      <c r="M10" s="660">
        <v>1270.5</v>
      </c>
      <c r="N10" s="661">
        <v>1455.17</v>
      </c>
    </row>
    <row r="11" spans="1:15" x14ac:dyDescent="0.2">
      <c r="A11" s="29">
        <v>5</v>
      </c>
      <c r="B11" s="25" t="s">
        <v>236</v>
      </c>
      <c r="C11" s="653">
        <v>7.29</v>
      </c>
      <c r="D11" s="653">
        <v>7.29</v>
      </c>
      <c r="E11" s="653">
        <v>0.03</v>
      </c>
      <c r="F11" s="61">
        <f t="shared" si="0"/>
        <v>7.32</v>
      </c>
      <c r="G11" s="655">
        <v>97972.5</v>
      </c>
      <c r="H11" s="655">
        <v>95222.5</v>
      </c>
      <c r="I11" s="655">
        <v>680.16</v>
      </c>
      <c r="J11" s="151">
        <f t="shared" si="1"/>
        <v>98652.66</v>
      </c>
      <c r="K11" s="358">
        <f t="shared" si="2"/>
        <v>1123.0949453551914</v>
      </c>
      <c r="L11" s="659">
        <v>875.49</v>
      </c>
      <c r="M11" s="660">
        <v>964.59</v>
      </c>
      <c r="N11" s="661">
        <v>1119.67</v>
      </c>
    </row>
    <row r="12" spans="1:15" x14ac:dyDescent="0.2">
      <c r="A12" s="29">
        <v>6</v>
      </c>
      <c r="B12" s="25" t="s">
        <v>237</v>
      </c>
      <c r="C12" s="653">
        <v>8.4700000000000006</v>
      </c>
      <c r="D12" s="653">
        <v>8.4700000000000006</v>
      </c>
      <c r="E12" s="653"/>
      <c r="F12" s="61">
        <f t="shared" si="0"/>
        <v>8.4700000000000006</v>
      </c>
      <c r="G12" s="655">
        <v>107312.31</v>
      </c>
      <c r="H12" s="655">
        <v>107312.31</v>
      </c>
      <c r="I12" s="655">
        <v>1088</v>
      </c>
      <c r="J12" s="151">
        <f t="shared" si="1"/>
        <v>108400.31</v>
      </c>
      <c r="K12" s="358">
        <f t="shared" si="2"/>
        <v>1066.5122983077529</v>
      </c>
      <c r="L12" s="660">
        <v>921.39</v>
      </c>
      <c r="M12" s="661">
        <v>1028</v>
      </c>
      <c r="N12" s="661">
        <v>1185.21</v>
      </c>
    </row>
    <row r="13" spans="1:15" x14ac:dyDescent="0.2">
      <c r="A13" s="29">
        <v>7</v>
      </c>
      <c r="B13" s="44" t="s">
        <v>64</v>
      </c>
      <c r="C13" s="653">
        <v>212.26</v>
      </c>
      <c r="D13" s="653">
        <v>212.26</v>
      </c>
      <c r="E13" s="653">
        <v>2.7</v>
      </c>
      <c r="F13" s="61">
        <f t="shared" si="0"/>
        <v>214.95999999999998</v>
      </c>
      <c r="G13" s="655">
        <v>2294638.79</v>
      </c>
      <c r="H13" s="655">
        <v>2236912.7599999998</v>
      </c>
      <c r="I13" s="655">
        <v>680752.91</v>
      </c>
      <c r="J13" s="151">
        <f t="shared" si="1"/>
        <v>2975391.7</v>
      </c>
      <c r="K13" s="358">
        <f t="shared" si="2"/>
        <v>1153.4671954472153</v>
      </c>
      <c r="L13" s="660">
        <v>747.5</v>
      </c>
      <c r="M13" s="661">
        <v>883.03</v>
      </c>
      <c r="N13" s="661">
        <v>1261.3900000000001</v>
      </c>
    </row>
    <row r="14" spans="1:15" x14ac:dyDescent="0.2">
      <c r="A14" s="29"/>
      <c r="B14" s="25" t="s">
        <v>303</v>
      </c>
      <c r="C14" s="654"/>
      <c r="D14" s="654"/>
      <c r="E14" s="654"/>
      <c r="F14" s="150"/>
      <c r="G14" s="149"/>
      <c r="H14" s="149"/>
      <c r="I14" s="149"/>
      <c r="J14" s="315"/>
      <c r="K14" s="358"/>
      <c r="L14" s="659"/>
      <c r="M14" s="660"/>
      <c r="N14" s="661"/>
    </row>
    <row r="15" spans="1:15" x14ac:dyDescent="0.2">
      <c r="A15" s="29">
        <v>8</v>
      </c>
      <c r="B15" s="25" t="s">
        <v>68</v>
      </c>
      <c r="C15" s="653">
        <v>107.18</v>
      </c>
      <c r="D15" s="653">
        <v>107.18</v>
      </c>
      <c r="E15" s="653">
        <v>1.7</v>
      </c>
      <c r="F15" s="61">
        <f t="shared" ref="F15:F21" si="3">C15+E15</f>
        <v>108.88000000000001</v>
      </c>
      <c r="G15" s="655">
        <v>1249071.46</v>
      </c>
      <c r="H15" s="655">
        <v>1197887.46</v>
      </c>
      <c r="I15" s="655">
        <v>658645.93999999994</v>
      </c>
      <c r="J15" s="151">
        <f t="shared" ref="J15:J21" si="4">G15+I15</f>
        <v>1907717.4</v>
      </c>
      <c r="K15" s="358">
        <f t="shared" si="2"/>
        <v>1460.1069985304921</v>
      </c>
      <c r="L15" s="659">
        <v>814.19</v>
      </c>
      <c r="M15" s="660">
        <v>1104</v>
      </c>
      <c r="N15" s="661">
        <v>1481.31</v>
      </c>
    </row>
    <row r="16" spans="1:15" x14ac:dyDescent="0.2">
      <c r="A16" s="29">
        <v>9</v>
      </c>
      <c r="B16" s="44" t="s">
        <v>283</v>
      </c>
      <c r="C16" s="61">
        <f>SUM(C17:C19)</f>
        <v>353.12</v>
      </c>
      <c r="D16" s="61">
        <f>SUM(D17:D19)</f>
        <v>352.61999999999995</v>
      </c>
      <c r="E16" s="61">
        <f>SUM(E17:E19)</f>
        <v>45.9</v>
      </c>
      <c r="F16" s="61">
        <f t="shared" si="3"/>
        <v>399.02</v>
      </c>
      <c r="G16" s="61">
        <f>SUM(G17:G19)</f>
        <v>4668139.93</v>
      </c>
      <c r="H16" s="61">
        <f>SUM(H17:H19)</f>
        <v>4595983.03</v>
      </c>
      <c r="I16" s="61">
        <f>SUM(I17:I19)</f>
        <v>884723.5</v>
      </c>
      <c r="J16" s="151">
        <f t="shared" si="4"/>
        <v>5552863.4299999997</v>
      </c>
      <c r="K16" s="358">
        <f t="shared" si="2"/>
        <v>1159.6877829849798</v>
      </c>
      <c r="L16" s="659">
        <v>827.3</v>
      </c>
      <c r="M16" s="660">
        <v>1031.04</v>
      </c>
      <c r="N16" s="661">
        <v>1287.8800000000001</v>
      </c>
    </row>
    <row r="17" spans="1:14" x14ac:dyDescent="0.2">
      <c r="A17" s="29">
        <v>10</v>
      </c>
      <c r="B17" s="25" t="s">
        <v>238</v>
      </c>
      <c r="C17" s="653">
        <v>83.33</v>
      </c>
      <c r="D17" s="653">
        <v>82.91</v>
      </c>
      <c r="E17" s="653">
        <v>5.64</v>
      </c>
      <c r="F17" s="61">
        <f t="shared" si="3"/>
        <v>88.97</v>
      </c>
      <c r="G17" s="655">
        <v>1324449.54</v>
      </c>
      <c r="H17" s="655">
        <v>1311995.94</v>
      </c>
      <c r="I17" s="655">
        <v>83287.839999999997</v>
      </c>
      <c r="J17" s="151">
        <f t="shared" si="4"/>
        <v>1407737.3800000001</v>
      </c>
      <c r="K17" s="358">
        <f t="shared" si="2"/>
        <v>1318.5506163126149</v>
      </c>
      <c r="L17" s="659">
        <v>977</v>
      </c>
      <c r="M17" s="660">
        <v>1199.8599999999999</v>
      </c>
      <c r="N17" s="661">
        <v>1448.25</v>
      </c>
    </row>
    <row r="18" spans="1:14" x14ac:dyDescent="0.2">
      <c r="A18" s="29">
        <v>11</v>
      </c>
      <c r="B18" s="25" t="s">
        <v>186</v>
      </c>
      <c r="C18" s="653">
        <v>183.89</v>
      </c>
      <c r="D18" s="653">
        <v>183.89</v>
      </c>
      <c r="E18" s="653">
        <v>13.12</v>
      </c>
      <c r="F18" s="61">
        <f t="shared" si="3"/>
        <v>197.01</v>
      </c>
      <c r="G18" s="655">
        <v>2425970.0099999998</v>
      </c>
      <c r="H18" s="655">
        <v>2419166.92</v>
      </c>
      <c r="I18" s="655">
        <v>489031.5</v>
      </c>
      <c r="J18" s="151">
        <f t="shared" si="4"/>
        <v>2915001.51</v>
      </c>
      <c r="K18" s="358">
        <f t="shared" si="2"/>
        <v>1233.0175752499872</v>
      </c>
      <c r="L18" s="659">
        <v>921.43</v>
      </c>
      <c r="M18" s="660">
        <v>1058.46</v>
      </c>
      <c r="N18" s="661">
        <v>1317.21</v>
      </c>
    </row>
    <row r="19" spans="1:14" x14ac:dyDescent="0.2">
      <c r="A19" s="29">
        <v>12</v>
      </c>
      <c r="B19" s="25" t="s">
        <v>164</v>
      </c>
      <c r="C19" s="653">
        <v>85.9</v>
      </c>
      <c r="D19" s="653">
        <v>85.82</v>
      </c>
      <c r="E19" s="653">
        <v>27.14</v>
      </c>
      <c r="F19" s="61">
        <f t="shared" si="3"/>
        <v>113.04</v>
      </c>
      <c r="G19" s="655">
        <v>917720.38</v>
      </c>
      <c r="H19" s="655">
        <v>864820.17</v>
      </c>
      <c r="I19" s="655">
        <v>312404.15999999997</v>
      </c>
      <c r="J19" s="151">
        <f t="shared" si="4"/>
        <v>1230124.54</v>
      </c>
      <c r="K19" s="358">
        <f t="shared" si="2"/>
        <v>906.85048065581498</v>
      </c>
      <c r="L19" s="659">
        <v>608.63</v>
      </c>
      <c r="M19" s="660">
        <v>788.08</v>
      </c>
      <c r="N19" s="661">
        <v>993.12</v>
      </c>
    </row>
    <row r="20" spans="1:14" x14ac:dyDescent="0.2">
      <c r="A20" s="29">
        <v>13</v>
      </c>
      <c r="B20" s="44" t="s">
        <v>280</v>
      </c>
      <c r="C20" s="653">
        <v>336</v>
      </c>
      <c r="D20" s="653">
        <v>308.39999999999998</v>
      </c>
      <c r="E20" s="653">
        <v>18.579999999999998</v>
      </c>
      <c r="F20" s="61">
        <f t="shared" si="3"/>
        <v>354.58</v>
      </c>
      <c r="G20" s="655">
        <v>5077898.09</v>
      </c>
      <c r="H20" s="655">
        <v>4405443.49</v>
      </c>
      <c r="I20" s="655">
        <v>541101.41</v>
      </c>
      <c r="J20" s="151">
        <f t="shared" si="4"/>
        <v>5618999.5</v>
      </c>
      <c r="K20" s="358">
        <f t="shared" si="2"/>
        <v>1320.5763391430237</v>
      </c>
      <c r="L20" s="659">
        <v>980.39</v>
      </c>
      <c r="M20" s="660">
        <v>1199.94</v>
      </c>
      <c r="N20" s="661">
        <v>1469.61</v>
      </c>
    </row>
    <row r="21" spans="1:14" ht="31.5" x14ac:dyDescent="0.2">
      <c r="A21" s="29">
        <v>14</v>
      </c>
      <c r="B21" s="44" t="s">
        <v>65</v>
      </c>
      <c r="C21" s="653">
        <v>277.06</v>
      </c>
      <c r="D21" s="653">
        <v>277.06</v>
      </c>
      <c r="E21" s="653">
        <v>14.13</v>
      </c>
      <c r="F21" s="61">
        <f t="shared" si="3"/>
        <v>291.19</v>
      </c>
      <c r="G21" s="655">
        <v>2099130.5699999998</v>
      </c>
      <c r="H21" s="655">
        <v>2097480.5699999998</v>
      </c>
      <c r="I21" s="655">
        <v>177551.32</v>
      </c>
      <c r="J21" s="151">
        <f t="shared" si="4"/>
        <v>2276681.8899999997</v>
      </c>
      <c r="K21" s="358">
        <f t="shared" si="2"/>
        <v>651.54535125977304</v>
      </c>
      <c r="L21" s="659">
        <v>501.64</v>
      </c>
      <c r="M21" s="660">
        <v>609.12</v>
      </c>
      <c r="N21" s="661">
        <v>722.52</v>
      </c>
    </row>
    <row r="22" spans="1:14" ht="47.25" x14ac:dyDescent="0.2">
      <c r="A22" s="29">
        <v>15</v>
      </c>
      <c r="B22" s="44" t="s">
        <v>324</v>
      </c>
      <c r="C22" s="61">
        <f>SUM(C23:C26)</f>
        <v>0</v>
      </c>
      <c r="D22" s="61">
        <f>SUM(D23:D26)</f>
        <v>0</v>
      </c>
      <c r="E22" s="61">
        <f>SUM(E23:E26)</f>
        <v>0</v>
      </c>
      <c r="F22" s="61">
        <f>SUM(F27:F27)</f>
        <v>0</v>
      </c>
      <c r="G22" s="61">
        <f>SUM(G23:G26)</f>
        <v>0</v>
      </c>
      <c r="H22" s="61">
        <f>SUM(H23:H26)</f>
        <v>0</v>
      </c>
      <c r="I22" s="61">
        <f>SUM(I23:I26)</f>
        <v>0</v>
      </c>
      <c r="J22" s="151">
        <f>SUM(J23:J26)</f>
        <v>0</v>
      </c>
      <c r="K22" s="358">
        <f t="shared" si="2"/>
        <v>0</v>
      </c>
      <c r="L22" s="29" t="s">
        <v>317</v>
      </c>
      <c r="M22" s="29" t="s">
        <v>317</v>
      </c>
      <c r="N22" s="29" t="s">
        <v>317</v>
      </c>
    </row>
    <row r="23" spans="1:14" x14ac:dyDescent="0.2">
      <c r="A23" s="29" t="s">
        <v>281</v>
      </c>
      <c r="B23" s="45"/>
      <c r="C23" s="653"/>
      <c r="D23" s="653"/>
      <c r="E23" s="653"/>
      <c r="F23" s="61">
        <f t="shared" ref="F23:F29" si="5">C23+E23</f>
        <v>0</v>
      </c>
      <c r="G23" s="148"/>
      <c r="H23" s="148"/>
      <c r="I23" s="148"/>
      <c r="J23" s="151">
        <f>G23+I23</f>
        <v>0</v>
      </c>
      <c r="K23" s="358">
        <f t="shared" si="2"/>
        <v>0</v>
      </c>
      <c r="L23" s="29" t="s">
        <v>317</v>
      </c>
      <c r="M23" s="29" t="s">
        <v>317</v>
      </c>
      <c r="N23" s="29" t="s">
        <v>317</v>
      </c>
    </row>
    <row r="24" spans="1:14" x14ac:dyDescent="0.2">
      <c r="A24" s="29" t="s">
        <v>393</v>
      </c>
      <c r="B24" s="45"/>
      <c r="C24" s="653"/>
      <c r="D24" s="653"/>
      <c r="E24" s="653"/>
      <c r="F24" s="61">
        <f t="shared" si="5"/>
        <v>0</v>
      </c>
      <c r="G24" s="148"/>
      <c r="H24" s="148"/>
      <c r="I24" s="148"/>
      <c r="J24" s="151">
        <f>G24+I24</f>
        <v>0</v>
      </c>
      <c r="K24" s="358">
        <f t="shared" si="2"/>
        <v>0</v>
      </c>
      <c r="L24" s="29" t="s">
        <v>317</v>
      </c>
      <c r="M24" s="29" t="s">
        <v>317</v>
      </c>
      <c r="N24" s="29" t="s">
        <v>317</v>
      </c>
    </row>
    <row r="25" spans="1:14" x14ac:dyDescent="0.2">
      <c r="A25" s="29" t="s">
        <v>394</v>
      </c>
      <c r="B25" s="45"/>
      <c r="C25" s="653"/>
      <c r="D25" s="653"/>
      <c r="E25" s="653"/>
      <c r="F25" s="61">
        <f t="shared" si="5"/>
        <v>0</v>
      </c>
      <c r="G25" s="148"/>
      <c r="H25" s="148"/>
      <c r="I25" s="148"/>
      <c r="J25" s="151">
        <f>G25+I25</f>
        <v>0</v>
      </c>
      <c r="K25" s="358">
        <f t="shared" si="2"/>
        <v>0</v>
      </c>
      <c r="L25" s="29" t="s">
        <v>317</v>
      </c>
      <c r="M25" s="29" t="s">
        <v>317</v>
      </c>
      <c r="N25" s="29" t="s">
        <v>317</v>
      </c>
    </row>
    <row r="26" spans="1:14" ht="16.5" customHeight="1" x14ac:dyDescent="0.2">
      <c r="A26" s="29" t="s">
        <v>395</v>
      </c>
      <c r="B26" s="45"/>
      <c r="C26" s="653"/>
      <c r="D26" s="653"/>
      <c r="E26" s="653"/>
      <c r="F26" s="61">
        <f t="shared" si="5"/>
        <v>0</v>
      </c>
      <c r="G26" s="148"/>
      <c r="H26" s="148"/>
      <c r="I26" s="148"/>
      <c r="J26" s="151">
        <f>G26+I26</f>
        <v>0</v>
      </c>
      <c r="K26" s="358">
        <f t="shared" si="2"/>
        <v>0</v>
      </c>
      <c r="L26" s="29" t="s">
        <v>317</v>
      </c>
      <c r="M26" s="29" t="s">
        <v>317</v>
      </c>
      <c r="N26" s="29" t="s">
        <v>317</v>
      </c>
    </row>
    <row r="27" spans="1:14" x14ac:dyDescent="0.2">
      <c r="A27" s="29"/>
      <c r="B27" s="25"/>
      <c r="C27" s="654"/>
      <c r="D27" s="654"/>
      <c r="E27" s="654"/>
      <c r="F27" s="150">
        <f t="shared" si="5"/>
        <v>0</v>
      </c>
      <c r="G27" s="149"/>
      <c r="H27" s="149"/>
      <c r="I27" s="149"/>
      <c r="J27" s="315"/>
      <c r="K27" s="358"/>
      <c r="L27" s="429"/>
      <c r="M27" s="428"/>
      <c r="N27" s="430"/>
    </row>
    <row r="28" spans="1:14" x14ac:dyDescent="0.2">
      <c r="A28" s="29">
        <v>16</v>
      </c>
      <c r="B28" s="44" t="s">
        <v>66</v>
      </c>
      <c r="C28" s="653">
        <v>174.24</v>
      </c>
      <c r="D28" s="653">
        <v>174.24</v>
      </c>
      <c r="E28" s="653">
        <v>3.5</v>
      </c>
      <c r="F28" s="61">
        <f t="shared" si="5"/>
        <v>177.74</v>
      </c>
      <c r="G28" s="655">
        <v>1524507.25</v>
      </c>
      <c r="H28" s="655">
        <v>1524507.25</v>
      </c>
      <c r="I28" s="655">
        <v>385512.99</v>
      </c>
      <c r="J28" s="151">
        <f>G28+I28</f>
        <v>1910020.24</v>
      </c>
      <c r="K28" s="358">
        <f t="shared" si="2"/>
        <v>895.51228386032028</v>
      </c>
      <c r="L28" s="659">
        <v>632.05999999999995</v>
      </c>
      <c r="M28" s="660">
        <v>779.98</v>
      </c>
      <c r="N28" s="661">
        <v>1014.85</v>
      </c>
    </row>
    <row r="29" spans="1:14" x14ac:dyDescent="0.2">
      <c r="A29" s="29">
        <v>17</v>
      </c>
      <c r="B29" s="44" t="s">
        <v>67</v>
      </c>
      <c r="C29" s="653"/>
      <c r="D29" s="653"/>
      <c r="E29" s="653">
        <v>48.42</v>
      </c>
      <c r="F29" s="61">
        <f t="shared" si="5"/>
        <v>48.42</v>
      </c>
      <c r="G29" s="655"/>
      <c r="H29" s="655"/>
      <c r="I29" s="655">
        <v>484493.89</v>
      </c>
      <c r="J29" s="151">
        <f>G29+I29</f>
        <v>484493.89</v>
      </c>
      <c r="K29" s="358">
        <f t="shared" si="2"/>
        <v>833.83913327825974</v>
      </c>
      <c r="L29" s="659">
        <v>661.62</v>
      </c>
      <c r="M29" s="660">
        <v>791.72</v>
      </c>
      <c r="N29" s="661">
        <v>933.32</v>
      </c>
    </row>
    <row r="30" spans="1:14" ht="16.5" thickBot="1" x14ac:dyDescent="0.25">
      <c r="A30" s="30">
        <v>18</v>
      </c>
      <c r="B30" s="46" t="s">
        <v>325</v>
      </c>
      <c r="C30" s="62">
        <f t="shared" ref="C30:J30" si="6">C7+C13+C16+C20+C21+C28+C29</f>
        <v>2316.3199999999997</v>
      </c>
      <c r="D30" s="62">
        <f t="shared" si="6"/>
        <v>2286.6899999999996</v>
      </c>
      <c r="E30" s="62">
        <f t="shared" si="6"/>
        <v>138.83999999999997</v>
      </c>
      <c r="F30" s="62">
        <f t="shared" si="6"/>
        <v>2455.16</v>
      </c>
      <c r="G30" s="62">
        <f t="shared" si="6"/>
        <v>34125834.989999995</v>
      </c>
      <c r="H30" s="62">
        <f t="shared" si="6"/>
        <v>32663447.880000003</v>
      </c>
      <c r="I30" s="62">
        <f t="shared" si="6"/>
        <v>4074406.5100000002</v>
      </c>
      <c r="J30" s="152">
        <f t="shared" si="6"/>
        <v>38200241.5</v>
      </c>
      <c r="K30" s="359">
        <f t="shared" si="2"/>
        <v>1296.5971498123681</v>
      </c>
      <c r="L30" s="662">
        <v>817.16</v>
      </c>
      <c r="M30" s="663">
        <v>1177.73</v>
      </c>
      <c r="N30" s="664">
        <v>1505.38</v>
      </c>
    </row>
    <row r="31" spans="1:14" ht="16.5" thickBot="1" x14ac:dyDescent="0.25">
      <c r="A31" s="17"/>
      <c r="B31" s="17"/>
      <c r="C31" s="20"/>
      <c r="D31" s="17"/>
      <c r="E31" s="17"/>
      <c r="F31" s="20"/>
      <c r="G31" s="20"/>
      <c r="H31" s="20"/>
      <c r="I31" s="20"/>
      <c r="J31" s="20"/>
    </row>
    <row r="32" spans="1:14" ht="16.5" thickBot="1" x14ac:dyDescent="0.3">
      <c r="A32" s="769" t="s">
        <v>10</v>
      </c>
      <c r="B32" s="770"/>
      <c r="C32" s="770"/>
      <c r="D32" s="770"/>
      <c r="E32" s="770"/>
      <c r="F32" s="770"/>
      <c r="G32" s="770"/>
      <c r="H32" s="770"/>
      <c r="I32" s="770"/>
      <c r="J32" s="770"/>
      <c r="K32" s="434"/>
      <c r="L32" s="466" t="s">
        <v>1004</v>
      </c>
      <c r="M32" s="432"/>
      <c r="N32" s="433"/>
    </row>
    <row r="33" spans="1:13" x14ac:dyDescent="0.25">
      <c r="A33" s="778" t="s">
        <v>847</v>
      </c>
      <c r="B33" s="779"/>
      <c r="C33" s="779"/>
      <c r="D33" s="779"/>
      <c r="E33" s="779"/>
      <c r="F33" s="779"/>
      <c r="G33" s="779"/>
      <c r="H33" s="779"/>
      <c r="I33" s="779"/>
      <c r="J33" s="780"/>
    </row>
    <row r="34" spans="1:13" ht="50.25" customHeight="1" x14ac:dyDescent="0.2">
      <c r="B34" s="776" t="s">
        <v>748</v>
      </c>
      <c r="C34" s="776"/>
      <c r="D34" s="776"/>
      <c r="E34" s="776"/>
      <c r="F34" s="776"/>
      <c r="G34" s="776"/>
      <c r="H34" s="776"/>
      <c r="I34" s="776"/>
      <c r="J34" s="776"/>
      <c r="M34" s="693"/>
    </row>
    <row r="35" spans="1:13" x14ac:dyDescent="0.2">
      <c r="B35" s="222" t="s">
        <v>724</v>
      </c>
    </row>
    <row r="36" spans="1:13" x14ac:dyDescent="0.2">
      <c r="B36" s="222" t="s">
        <v>725</v>
      </c>
    </row>
    <row r="37" spans="1:13" x14ac:dyDescent="0.2">
      <c r="B37" s="222" t="s">
        <v>726</v>
      </c>
    </row>
  </sheetData>
  <mergeCells count="19">
    <mergeCell ref="A32:J32"/>
    <mergeCell ref="C3:F3"/>
    <mergeCell ref="H3:H4"/>
    <mergeCell ref="K3:K5"/>
    <mergeCell ref="B34:J34"/>
    <mergeCell ref="G3:G5"/>
    <mergeCell ref="I3:I5"/>
    <mergeCell ref="C4:C5"/>
    <mergeCell ref="A33:J33"/>
    <mergeCell ref="E4:E5"/>
    <mergeCell ref="F4:F5"/>
    <mergeCell ref="B3:B5"/>
    <mergeCell ref="A3:A5"/>
    <mergeCell ref="L3:L5"/>
    <mergeCell ref="M3:M5"/>
    <mergeCell ref="N3:N5"/>
    <mergeCell ref="A1:K1"/>
    <mergeCell ref="A2:K2"/>
    <mergeCell ref="J3:J5"/>
  </mergeCells>
  <phoneticPr fontId="0" type="noConversion"/>
  <printOptions gridLines="1"/>
  <pageMargins left="0.47244094488188981" right="0.31496062992125984" top="0.74803149606299213" bottom="0.39370078740157483" header="0.51181102362204722" footer="0.27559055118110237"/>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pane xSplit="2" ySplit="6" topLeftCell="C28" activePane="bottomRight" state="frozen"/>
      <selection pane="topRight" activeCell="C1" sqref="C1"/>
      <selection pane="bottomLeft" activeCell="A7" sqref="A7"/>
      <selection pane="bottomRight" activeCell="M34" sqref="M34"/>
    </sheetView>
  </sheetViews>
  <sheetFormatPr defaultColWidth="9.140625" defaultRowHeight="15.75" x14ac:dyDescent="0.2"/>
  <cols>
    <col min="1" max="1" width="5.5703125" style="22" customWidth="1"/>
    <col min="2" max="2" width="60.28515625" style="48" customWidth="1"/>
    <col min="3" max="3" width="14.7109375" style="18" customWidth="1"/>
    <col min="4" max="4" width="14" style="18" customWidth="1"/>
    <col min="5" max="5" width="15.85546875" style="18" customWidth="1"/>
    <col min="6" max="6" width="15.7109375" style="18" customWidth="1"/>
    <col min="7" max="7" width="19.140625" style="18" customWidth="1"/>
    <col min="8" max="8" width="18.7109375" style="18" customWidth="1"/>
    <col min="9" max="9" width="16.28515625" style="18" customWidth="1"/>
    <col min="10" max="10" width="17.7109375" style="18" bestFit="1" customWidth="1"/>
    <col min="11" max="11" width="13.28515625" style="18" customWidth="1"/>
    <col min="12" max="12" width="12.42578125" style="18" customWidth="1"/>
    <col min="13" max="13" width="9.7109375" style="18" customWidth="1"/>
    <col min="14" max="14" width="9" style="18" customWidth="1"/>
    <col min="15" max="15" width="8.7109375" style="18" customWidth="1"/>
    <col min="16" max="16" width="3.5703125" style="18" customWidth="1"/>
    <col min="17" max="18" width="3.85546875" style="18" customWidth="1"/>
    <col min="19" max="16384" width="9.140625" style="18"/>
  </cols>
  <sheetData>
    <row r="1" spans="1:15" ht="35.1" customHeight="1" thickBot="1" x14ac:dyDescent="0.25">
      <c r="A1" s="784" t="s">
        <v>1106</v>
      </c>
      <c r="B1" s="785"/>
      <c r="C1" s="785"/>
      <c r="D1" s="785"/>
      <c r="E1" s="785"/>
      <c r="F1" s="785"/>
      <c r="G1" s="785"/>
      <c r="H1" s="785"/>
      <c r="I1" s="785"/>
      <c r="J1" s="785"/>
      <c r="K1" s="785"/>
    </row>
    <row r="2" spans="1:15" ht="35.450000000000003" customHeight="1" thickBot="1" x14ac:dyDescent="0.25">
      <c r="A2" s="752" t="s">
        <v>1259</v>
      </c>
      <c r="B2" s="753"/>
      <c r="C2" s="753"/>
      <c r="D2" s="753"/>
      <c r="E2" s="753"/>
      <c r="F2" s="753"/>
      <c r="G2" s="753"/>
      <c r="H2" s="753"/>
      <c r="I2" s="753"/>
      <c r="J2" s="753"/>
      <c r="K2" s="753"/>
      <c r="L2" s="453" t="s">
        <v>890</v>
      </c>
      <c r="M2" s="454"/>
      <c r="N2" s="454"/>
      <c r="O2" s="454"/>
    </row>
    <row r="3" spans="1:15" ht="42.75" customHeight="1" x14ac:dyDescent="0.2">
      <c r="A3" s="782" t="s">
        <v>205</v>
      </c>
      <c r="B3" s="786" t="s">
        <v>1144</v>
      </c>
      <c r="C3" s="771" t="s">
        <v>1107</v>
      </c>
      <c r="D3" s="771"/>
      <c r="E3" s="771"/>
      <c r="F3" s="771"/>
      <c r="G3" s="771" t="s">
        <v>743</v>
      </c>
      <c r="H3" s="772" t="s">
        <v>303</v>
      </c>
      <c r="I3" s="771" t="s">
        <v>745</v>
      </c>
      <c r="J3" s="767" t="s">
        <v>746</v>
      </c>
      <c r="K3" s="788" t="s">
        <v>892</v>
      </c>
      <c r="L3" s="791" t="s">
        <v>891</v>
      </c>
      <c r="M3" s="756" t="s">
        <v>1002</v>
      </c>
      <c r="N3" s="759" t="s">
        <v>1145</v>
      </c>
      <c r="O3" s="762" t="s">
        <v>1003</v>
      </c>
    </row>
    <row r="4" spans="1:15" ht="34.5" customHeight="1" x14ac:dyDescent="0.2">
      <c r="A4" s="783"/>
      <c r="B4" s="787"/>
      <c r="C4" s="777" t="s">
        <v>893</v>
      </c>
      <c r="D4" s="14" t="s">
        <v>303</v>
      </c>
      <c r="E4" s="777" t="s">
        <v>895</v>
      </c>
      <c r="F4" s="777" t="s">
        <v>896</v>
      </c>
      <c r="G4" s="777"/>
      <c r="H4" s="773"/>
      <c r="I4" s="777"/>
      <c r="J4" s="768"/>
      <c r="K4" s="788"/>
      <c r="L4" s="791"/>
      <c r="M4" s="757"/>
      <c r="N4" s="760"/>
      <c r="O4" s="763"/>
    </row>
    <row r="5" spans="1:15" s="75" customFormat="1" ht="63.75" thickBot="1" x14ac:dyDescent="0.25">
      <c r="A5" s="783"/>
      <c r="B5" s="787"/>
      <c r="C5" s="777"/>
      <c r="D5" s="93" t="s">
        <v>894</v>
      </c>
      <c r="E5" s="777"/>
      <c r="F5" s="777"/>
      <c r="G5" s="777"/>
      <c r="H5" s="14" t="s">
        <v>744</v>
      </c>
      <c r="I5" s="777"/>
      <c r="J5" s="768"/>
      <c r="K5" s="789"/>
      <c r="L5" s="792"/>
      <c r="M5" s="758"/>
      <c r="N5" s="761"/>
      <c r="O5" s="764"/>
    </row>
    <row r="6" spans="1:15" s="76" customFormat="1" ht="18" customHeight="1" thickBot="1" x14ac:dyDescent="0.25">
      <c r="A6" s="136"/>
      <c r="B6" s="64"/>
      <c r="C6" s="15" t="s">
        <v>286</v>
      </c>
      <c r="D6" s="15" t="s">
        <v>287</v>
      </c>
      <c r="E6" s="15" t="s">
        <v>288</v>
      </c>
      <c r="F6" s="15" t="s">
        <v>184</v>
      </c>
      <c r="G6" s="15" t="s">
        <v>289</v>
      </c>
      <c r="H6" s="15" t="s">
        <v>290</v>
      </c>
      <c r="I6" s="15" t="s">
        <v>291</v>
      </c>
      <c r="J6" s="313" t="s">
        <v>185</v>
      </c>
      <c r="K6" s="361" t="s">
        <v>845</v>
      </c>
      <c r="L6" s="455" t="s">
        <v>712</v>
      </c>
      <c r="M6" s="456"/>
      <c r="N6" s="456"/>
      <c r="O6" s="456"/>
    </row>
    <row r="7" spans="1:15" s="21" customFormat="1" x14ac:dyDescent="0.2">
      <c r="A7" s="29">
        <v>1</v>
      </c>
      <c r="B7" s="44" t="s">
        <v>282</v>
      </c>
      <c r="C7" s="61">
        <f>SUM(C8:C12)</f>
        <v>335.40000000000003</v>
      </c>
      <c r="D7" s="61">
        <f>SUM(D8:D12)</f>
        <v>334.72</v>
      </c>
      <c r="E7" s="61">
        <f>SUM(E8:E12)</f>
        <v>0.79</v>
      </c>
      <c r="F7" s="61">
        <f t="shared" ref="F7:F13" si="0">C7+E7</f>
        <v>336.19000000000005</v>
      </c>
      <c r="G7" s="61">
        <f>SUM(G8:G12)</f>
        <v>5835824.9799999995</v>
      </c>
      <c r="H7" s="61">
        <f>SUM(H8:H12)</f>
        <v>5711059.6899999995</v>
      </c>
      <c r="I7" s="61">
        <f>SUM(I8:I12)</f>
        <v>168360.17</v>
      </c>
      <c r="J7" s="151">
        <f t="shared" ref="J7:J13" si="1">G7+I7</f>
        <v>6004185.1499999994</v>
      </c>
      <c r="K7" s="358">
        <f>IF(F7=0,0,J7/F7/12)</f>
        <v>1488.2916282459319</v>
      </c>
      <c r="L7" s="457">
        <f>IF('T6-Zamestnanci_a_mzdy'!F7-'T6a-Zamestnanci_a_mzdy (ženy)'!F7=0,0,('T6-Zamestnanci_a_mzdy'!J7-'T6a-Zamestnanci_a_mzdy (ženy)'!J7)/('T6-Zamestnanci_a_mzdy'!F7-'T6a-Zamestnanci_a_mzdy (ženy)'!F7)/12)</f>
        <v>1760.97127444476</v>
      </c>
      <c r="M7" s="672">
        <v>1181.6099999999999</v>
      </c>
      <c r="N7" s="673">
        <v>1362.83</v>
      </c>
      <c r="O7" s="674">
        <v>1615.97</v>
      </c>
    </row>
    <row r="8" spans="1:15" ht="31.5" x14ac:dyDescent="0.2">
      <c r="A8" s="29">
        <v>2</v>
      </c>
      <c r="B8" s="25" t="s">
        <v>846</v>
      </c>
      <c r="C8" s="653">
        <v>17.3</v>
      </c>
      <c r="D8" s="653">
        <v>17.239999999999998</v>
      </c>
      <c r="E8" s="653">
        <v>0.25</v>
      </c>
      <c r="F8" s="61">
        <f t="shared" si="0"/>
        <v>17.55</v>
      </c>
      <c r="G8" s="655">
        <v>500281.54</v>
      </c>
      <c r="H8" s="655">
        <v>472433.58</v>
      </c>
      <c r="I8" s="655">
        <v>25044.36</v>
      </c>
      <c r="J8" s="151">
        <f t="shared" si="1"/>
        <v>525325.9</v>
      </c>
      <c r="K8" s="358">
        <f t="shared" ref="K8:K30" si="2">IF(F8=0,0,J8/F8/12)</f>
        <v>2494.4249762583095</v>
      </c>
      <c r="L8" s="457">
        <f>IF('T6-Zamestnanci_a_mzdy'!F8-'T6a-Zamestnanci_a_mzdy (ženy)'!F8=0,0,('T6-Zamestnanci_a_mzdy'!J8-'T6a-Zamestnanci_a_mzdy (ženy)'!J8)/('T6-Zamestnanci_a_mzdy'!F8-'T6a-Zamestnanci_a_mzdy (ženy)'!F8)/12)</f>
        <v>2529.7744402342405</v>
      </c>
      <c r="M8" s="666">
        <v>1633.26</v>
      </c>
      <c r="N8" s="667">
        <v>2292</v>
      </c>
      <c r="O8" s="668">
        <v>2770.1</v>
      </c>
    </row>
    <row r="9" spans="1:15" x14ac:dyDescent="0.2">
      <c r="A9" s="29">
        <v>3</v>
      </c>
      <c r="B9" s="25" t="s">
        <v>234</v>
      </c>
      <c r="C9" s="653">
        <v>107.11</v>
      </c>
      <c r="D9" s="653">
        <v>107.06</v>
      </c>
      <c r="E9" s="653"/>
      <c r="F9" s="61">
        <f t="shared" si="0"/>
        <v>107.11</v>
      </c>
      <c r="G9" s="655">
        <v>2116143.2799999998</v>
      </c>
      <c r="H9" s="655">
        <v>2074901.39</v>
      </c>
      <c r="I9" s="655">
        <v>70549.320000000007</v>
      </c>
      <c r="J9" s="151">
        <f t="shared" si="1"/>
        <v>2186692.5999999996</v>
      </c>
      <c r="K9" s="358">
        <f t="shared" si="2"/>
        <v>1701.2826377866986</v>
      </c>
      <c r="L9" s="457">
        <f>IF('T6-Zamestnanci_a_mzdy'!F9-'T6a-Zamestnanci_a_mzdy (ženy)'!F9=0,0,('T6-Zamestnanci_a_mzdy'!J9-'T6a-Zamestnanci_a_mzdy (ženy)'!J9)/('T6-Zamestnanci_a_mzdy'!F9-'T6a-Zamestnanci_a_mzdy (ženy)'!F9)/12)</f>
        <v>1801.547075298934</v>
      </c>
      <c r="M9" s="666">
        <v>1423.17</v>
      </c>
      <c r="N9" s="667">
        <v>1608.67</v>
      </c>
      <c r="O9" s="668">
        <v>1751.67</v>
      </c>
    </row>
    <row r="10" spans="1:15" x14ac:dyDescent="0.2">
      <c r="A10" s="29">
        <v>4</v>
      </c>
      <c r="B10" s="25" t="s">
        <v>235</v>
      </c>
      <c r="C10" s="653">
        <v>205.73</v>
      </c>
      <c r="D10" s="653">
        <v>205.16</v>
      </c>
      <c r="E10" s="653">
        <v>0.54</v>
      </c>
      <c r="F10" s="61">
        <f t="shared" si="0"/>
        <v>206.26999999999998</v>
      </c>
      <c r="G10" s="655">
        <v>3161670.86</v>
      </c>
      <c r="H10" s="655">
        <v>3106545.42</v>
      </c>
      <c r="I10" s="655">
        <v>72188.490000000005</v>
      </c>
      <c r="J10" s="151">
        <f t="shared" si="1"/>
        <v>3233859.35</v>
      </c>
      <c r="K10" s="358">
        <f t="shared" si="2"/>
        <v>1306.4831491087734</v>
      </c>
      <c r="L10" s="457">
        <f>IF('T6-Zamestnanci_a_mzdy'!F10-'T6a-Zamestnanci_a_mzdy (ženy)'!F10=0,0,('T6-Zamestnanci_a_mzdy'!J10-'T6a-Zamestnanci_a_mzdy (ženy)'!J10)/('T6-Zamestnanci_a_mzdy'!F10-'T6a-Zamestnanci_a_mzdy (ženy)'!F10)/12)</f>
        <v>1373.690568010421</v>
      </c>
      <c r="M10" s="666">
        <v>1119.03</v>
      </c>
      <c r="N10" s="667">
        <v>1239.33</v>
      </c>
      <c r="O10" s="668">
        <v>1387.33</v>
      </c>
    </row>
    <row r="11" spans="1:15" x14ac:dyDescent="0.2">
      <c r="A11" s="29">
        <v>5</v>
      </c>
      <c r="B11" s="25" t="s">
        <v>236</v>
      </c>
      <c r="C11" s="653">
        <v>1.6</v>
      </c>
      <c r="D11" s="653">
        <v>1.6</v>
      </c>
      <c r="E11" s="653"/>
      <c r="F11" s="61">
        <f t="shared" si="0"/>
        <v>1.6</v>
      </c>
      <c r="G11" s="655">
        <v>19427.37</v>
      </c>
      <c r="H11" s="655">
        <v>18877.37</v>
      </c>
      <c r="I11" s="655"/>
      <c r="J11" s="151">
        <f t="shared" si="1"/>
        <v>19427.37</v>
      </c>
      <c r="K11" s="358">
        <f t="shared" si="2"/>
        <v>1011.8421874999999</v>
      </c>
      <c r="L11" s="457">
        <f>IF('T6-Zamestnanci_a_mzdy'!F11-'T6a-Zamestnanci_a_mzdy (ženy)'!F11=0,0,('T6-Zamestnanci_a_mzdy'!J11-'T6a-Zamestnanci_a_mzdy (ženy)'!J11)/('T6-Zamestnanci_a_mzdy'!F11-'T6a-Zamestnanci_a_mzdy (ženy)'!F11)/12)</f>
        <v>1154.2145979020979</v>
      </c>
      <c r="M11" s="666"/>
      <c r="N11" s="667">
        <v>797.5</v>
      </c>
      <c r="O11" s="668">
        <v>963.72</v>
      </c>
    </row>
    <row r="12" spans="1:15" x14ac:dyDescent="0.2">
      <c r="A12" s="29">
        <v>6</v>
      </c>
      <c r="B12" s="25" t="s">
        <v>237</v>
      </c>
      <c r="C12" s="653">
        <v>3.66</v>
      </c>
      <c r="D12" s="653">
        <v>3.66</v>
      </c>
      <c r="E12" s="653"/>
      <c r="F12" s="61">
        <f t="shared" si="0"/>
        <v>3.66</v>
      </c>
      <c r="G12" s="655">
        <v>38301.93</v>
      </c>
      <c r="H12" s="655">
        <v>38301.93</v>
      </c>
      <c r="I12" s="655">
        <v>578</v>
      </c>
      <c r="J12" s="151">
        <f t="shared" si="1"/>
        <v>38879.93</v>
      </c>
      <c r="K12" s="358">
        <f t="shared" si="2"/>
        <v>885.24430783242258</v>
      </c>
      <c r="L12" s="457">
        <f>IF('T6-Zamestnanci_a_mzdy'!F12-'T6a-Zamestnanci_a_mzdy (ženy)'!F12=0,0,('T6-Zamestnanci_a_mzdy'!J12-'T6a-Zamestnanci_a_mzdy (ženy)'!J12)/('T6-Zamestnanci_a_mzdy'!F12-'T6a-Zamestnanci_a_mzdy (ženy)'!F12)/12)</f>
        <v>1204.4417879417879</v>
      </c>
      <c r="M12" s="666">
        <v>921.39</v>
      </c>
      <c r="N12" s="667">
        <v>944.51</v>
      </c>
      <c r="O12" s="668">
        <v>1067.22</v>
      </c>
    </row>
    <row r="13" spans="1:15" x14ac:dyDescent="0.2">
      <c r="A13" s="29">
        <v>7</v>
      </c>
      <c r="B13" s="44" t="s">
        <v>64</v>
      </c>
      <c r="C13" s="653">
        <v>108.17</v>
      </c>
      <c r="D13" s="653">
        <v>108.17</v>
      </c>
      <c r="E13" s="653">
        <v>1.56</v>
      </c>
      <c r="F13" s="61">
        <f t="shared" si="0"/>
        <v>109.73</v>
      </c>
      <c r="G13" s="655">
        <v>1092030.98</v>
      </c>
      <c r="H13" s="655">
        <v>1083600.98</v>
      </c>
      <c r="I13" s="655">
        <v>172732.99</v>
      </c>
      <c r="J13" s="151">
        <f t="shared" si="1"/>
        <v>1264763.97</v>
      </c>
      <c r="K13" s="358">
        <f t="shared" si="2"/>
        <v>960.51214344299649</v>
      </c>
      <c r="L13" s="457">
        <f>IF('T6-Zamestnanci_a_mzdy'!F13-'T6a-Zamestnanci_a_mzdy (ženy)'!F13=0,0,('T6-Zamestnanci_a_mzdy'!J13-'T6a-Zamestnanci_a_mzdy (ženy)'!J13)/('T6-Zamestnanci_a_mzdy'!F13-'T6a-Zamestnanci_a_mzdy (ženy)'!F13)/12)</f>
        <v>1354.6736751243313</v>
      </c>
      <c r="M13" s="666">
        <v>731.91</v>
      </c>
      <c r="N13" s="667">
        <v>830.83</v>
      </c>
      <c r="O13" s="668">
        <v>1095</v>
      </c>
    </row>
    <row r="14" spans="1:15" x14ac:dyDescent="0.2">
      <c r="A14" s="29"/>
      <c r="B14" s="25" t="s">
        <v>303</v>
      </c>
      <c r="C14" s="654"/>
      <c r="D14" s="654"/>
      <c r="E14" s="654"/>
      <c r="F14" s="150"/>
      <c r="G14" s="665"/>
      <c r="H14" s="665"/>
      <c r="I14" s="665"/>
      <c r="J14" s="315"/>
      <c r="K14" s="315"/>
      <c r="L14" s="461"/>
      <c r="M14" s="666"/>
      <c r="N14" s="667"/>
      <c r="O14" s="668"/>
    </row>
    <row r="15" spans="1:15" x14ac:dyDescent="0.2">
      <c r="A15" s="29">
        <v>8</v>
      </c>
      <c r="B15" s="25" t="s">
        <v>68</v>
      </c>
      <c r="C15" s="653">
        <v>31.65</v>
      </c>
      <c r="D15" s="653">
        <v>31.65</v>
      </c>
      <c r="E15" s="653">
        <v>1.23</v>
      </c>
      <c r="F15" s="61">
        <f t="shared" ref="F15:F21" si="3">C15+E15</f>
        <v>32.879999999999995</v>
      </c>
      <c r="G15" s="655">
        <v>316672.25</v>
      </c>
      <c r="H15" s="655">
        <v>313972.25</v>
      </c>
      <c r="I15" s="655">
        <v>162208.01999999999</v>
      </c>
      <c r="J15" s="151">
        <f t="shared" ref="J15:J21" si="4">G15+I15</f>
        <v>478880.27</v>
      </c>
      <c r="K15" s="358">
        <f t="shared" si="2"/>
        <v>1213.7070914436338</v>
      </c>
      <c r="L15" s="457">
        <f>IF('T6-Zamestnanci_a_mzdy'!F15-'T6a-Zamestnanci_a_mzdy (ženy)'!F15=0,0,('T6-Zamestnanci_a_mzdy'!J15-'T6a-Zamestnanci_a_mzdy (ženy)'!J15)/('T6-Zamestnanci_a_mzdy'!F15-'T6a-Zamestnanci_a_mzdy (ženy)'!F15)/12)</f>
        <v>1566.7073793859645</v>
      </c>
      <c r="M15" s="666">
        <v>728.5</v>
      </c>
      <c r="N15" s="667">
        <v>1231.67</v>
      </c>
      <c r="O15" s="668">
        <v>1479.24</v>
      </c>
    </row>
    <row r="16" spans="1:15" x14ac:dyDescent="0.2">
      <c r="A16" s="29">
        <v>9</v>
      </c>
      <c r="B16" s="44" t="s">
        <v>283</v>
      </c>
      <c r="C16" s="61">
        <f>SUM(C17:C19)</f>
        <v>301.27</v>
      </c>
      <c r="D16" s="61">
        <f>SUM(D17:D19)</f>
        <v>300.85000000000002</v>
      </c>
      <c r="E16" s="61">
        <f>SUM(E17:E19)</f>
        <v>42.269999999999996</v>
      </c>
      <c r="F16" s="61">
        <f t="shared" si="3"/>
        <v>343.53999999999996</v>
      </c>
      <c r="G16" s="61">
        <f>SUM(G17:G19)</f>
        <v>3821612.07</v>
      </c>
      <c r="H16" s="61">
        <f>SUM(H17:H19)</f>
        <v>3756136.54</v>
      </c>
      <c r="I16" s="61">
        <f>SUM(I17:I19)</f>
        <v>731287.99</v>
      </c>
      <c r="J16" s="151">
        <f t="shared" si="4"/>
        <v>4552900.0599999996</v>
      </c>
      <c r="K16" s="358">
        <f t="shared" si="2"/>
        <v>1104.4080407909803</v>
      </c>
      <c r="L16" s="457">
        <f>IF('T6-Zamestnanci_a_mzdy'!F16-'T6a-Zamestnanci_a_mzdy (ženy)'!F16=0,0,('T6-Zamestnanci_a_mzdy'!J16-'T6a-Zamestnanci_a_mzdy (ženy)'!J16)/('T6-Zamestnanci_a_mzdy'!F16-'T6a-Zamestnanci_a_mzdy (ženy)'!F16)/12)</f>
        <v>1501.9877583513573</v>
      </c>
      <c r="M16" s="666">
        <v>833.33</v>
      </c>
      <c r="N16" s="667">
        <v>1031.04</v>
      </c>
      <c r="O16" s="668">
        <v>1277.67</v>
      </c>
    </row>
    <row r="17" spans="1:15" x14ac:dyDescent="0.2">
      <c r="A17" s="29">
        <v>10</v>
      </c>
      <c r="B17" s="25" t="s">
        <v>238</v>
      </c>
      <c r="C17" s="653">
        <v>63.38</v>
      </c>
      <c r="D17" s="653">
        <v>63.05</v>
      </c>
      <c r="E17" s="653">
        <v>8.84</v>
      </c>
      <c r="F17" s="61">
        <f t="shared" si="3"/>
        <v>72.22</v>
      </c>
      <c r="G17" s="655">
        <v>874902.84</v>
      </c>
      <c r="H17" s="655">
        <v>864125.82</v>
      </c>
      <c r="I17" s="655">
        <v>225926.12</v>
      </c>
      <c r="J17" s="151">
        <f t="shared" si="4"/>
        <v>1100828.96</v>
      </c>
      <c r="K17" s="358">
        <f t="shared" si="2"/>
        <v>1270.226345426013</v>
      </c>
      <c r="L17" s="457">
        <f>IF('T6-Zamestnanci_a_mzdy'!F17-'T6a-Zamestnanci_a_mzdy (ženy)'!F17=0,0,('T6-Zamestnanci_a_mzdy'!J17-'T6a-Zamestnanci_a_mzdy (ženy)'!J17)/('T6-Zamestnanci_a_mzdy'!F17-'T6a-Zamestnanci_a_mzdy (ženy)'!F17)/12)</f>
        <v>1526.9075621890554</v>
      </c>
      <c r="M17" s="666">
        <v>951.64</v>
      </c>
      <c r="N17" s="667">
        <v>1198.33</v>
      </c>
      <c r="O17" s="668">
        <v>1357.33</v>
      </c>
    </row>
    <row r="18" spans="1:15" x14ac:dyDescent="0.2">
      <c r="A18" s="29">
        <v>11</v>
      </c>
      <c r="B18" s="25" t="s">
        <v>186</v>
      </c>
      <c r="C18" s="653">
        <v>167.55</v>
      </c>
      <c r="D18" s="653">
        <v>167.55</v>
      </c>
      <c r="E18" s="653">
        <v>7.87</v>
      </c>
      <c r="F18" s="61">
        <f t="shared" si="3"/>
        <v>175.42000000000002</v>
      </c>
      <c r="G18" s="655">
        <v>2180467.77</v>
      </c>
      <c r="H18" s="655">
        <v>2174033.77</v>
      </c>
      <c r="I18" s="655">
        <v>224686.5</v>
      </c>
      <c r="J18" s="151">
        <f t="shared" si="4"/>
        <v>2405154.27</v>
      </c>
      <c r="K18" s="358">
        <f t="shared" si="2"/>
        <v>1142.5693906054041</v>
      </c>
      <c r="L18" s="457">
        <f>IF('T6-Zamestnanci_a_mzdy'!F18-'T6a-Zamestnanci_a_mzdy (ženy)'!F18=0,0,('T6-Zamestnanci_a_mzdy'!J18-'T6a-Zamestnanci_a_mzdy (ženy)'!J18)/('T6-Zamestnanci_a_mzdy'!F18-'T6a-Zamestnanci_a_mzdy (ženy)'!F18)/12)</f>
        <v>1967.9143121815669</v>
      </c>
      <c r="M18" s="666">
        <v>930.28</v>
      </c>
      <c r="N18" s="667">
        <v>1058.31</v>
      </c>
      <c r="O18" s="668">
        <v>1289.6300000000001</v>
      </c>
    </row>
    <row r="19" spans="1:15" x14ac:dyDescent="0.2">
      <c r="A19" s="29">
        <v>12</v>
      </c>
      <c r="B19" s="25" t="s">
        <v>164</v>
      </c>
      <c r="C19" s="653">
        <v>70.34</v>
      </c>
      <c r="D19" s="653">
        <v>70.25</v>
      </c>
      <c r="E19" s="653">
        <v>25.56</v>
      </c>
      <c r="F19" s="61">
        <f t="shared" si="3"/>
        <v>95.9</v>
      </c>
      <c r="G19" s="655">
        <v>766241.46</v>
      </c>
      <c r="H19" s="655">
        <v>717976.95</v>
      </c>
      <c r="I19" s="655">
        <v>280675.37</v>
      </c>
      <c r="J19" s="151">
        <f t="shared" si="4"/>
        <v>1046916.83</v>
      </c>
      <c r="K19" s="358">
        <f t="shared" si="2"/>
        <v>909.72960549183165</v>
      </c>
      <c r="L19" s="457">
        <f>IF('T6-Zamestnanci_a_mzdy'!F19-'T6a-Zamestnanci_a_mzdy (ženy)'!F19=0,0,('T6-Zamestnanci_a_mzdy'!J19-'T6a-Zamestnanci_a_mzdy (ženy)'!J19)/('T6-Zamestnanci_a_mzdy'!F19-'T6a-Zamestnanci_a_mzdy (ženy)'!F19)/12)</f>
        <v>890.74149163749553</v>
      </c>
      <c r="M19" s="666">
        <v>621.74</v>
      </c>
      <c r="N19" s="667">
        <v>805.17</v>
      </c>
      <c r="O19" s="668">
        <v>965.32</v>
      </c>
    </row>
    <row r="20" spans="1:15" x14ac:dyDescent="0.2">
      <c r="A20" s="29">
        <v>13</v>
      </c>
      <c r="B20" s="44" t="s">
        <v>280</v>
      </c>
      <c r="C20" s="653">
        <v>121.93</v>
      </c>
      <c r="D20" s="653">
        <v>115.38</v>
      </c>
      <c r="E20" s="653">
        <v>2.67</v>
      </c>
      <c r="F20" s="61">
        <f t="shared" si="3"/>
        <v>124.60000000000001</v>
      </c>
      <c r="G20" s="655">
        <v>1608129.99</v>
      </c>
      <c r="H20" s="655">
        <v>1487744.66</v>
      </c>
      <c r="I20" s="655">
        <v>78879.19</v>
      </c>
      <c r="J20" s="151">
        <f t="shared" si="4"/>
        <v>1687009.18</v>
      </c>
      <c r="K20" s="358">
        <f t="shared" si="2"/>
        <v>1128.2832932049223</v>
      </c>
      <c r="L20" s="457">
        <f>IF('T6-Zamestnanci_a_mzdy'!F20-'T6a-Zamestnanci_a_mzdy (ženy)'!F20=0,0,('T6-Zamestnanci_a_mzdy'!J20-'T6a-Zamestnanci_a_mzdy (ženy)'!J20)/('T6-Zamestnanci_a_mzdy'!F20-'T6a-Zamestnanci_a_mzdy (ženy)'!F20)/12)</f>
        <v>1424.7580659187759</v>
      </c>
      <c r="M20" s="666">
        <v>811.83</v>
      </c>
      <c r="N20" s="667">
        <v>1077.5999999999999</v>
      </c>
      <c r="O20" s="668">
        <v>1292.17</v>
      </c>
    </row>
    <row r="21" spans="1:15" ht="31.5" x14ac:dyDescent="0.2">
      <c r="A21" s="29">
        <v>14</v>
      </c>
      <c r="B21" s="44" t="s">
        <v>65</v>
      </c>
      <c r="C21" s="653">
        <v>150.83000000000001</v>
      </c>
      <c r="D21" s="653">
        <v>150.83000000000001</v>
      </c>
      <c r="E21" s="653">
        <v>3.25</v>
      </c>
      <c r="F21" s="61">
        <f t="shared" si="3"/>
        <v>154.08000000000001</v>
      </c>
      <c r="G21" s="655">
        <v>1024582.44</v>
      </c>
      <c r="H21" s="655">
        <v>1023882.44</v>
      </c>
      <c r="I21" s="655">
        <v>59077.15</v>
      </c>
      <c r="J21" s="151">
        <f t="shared" si="4"/>
        <v>1083659.5899999999</v>
      </c>
      <c r="K21" s="358">
        <f t="shared" si="2"/>
        <v>586.0914189598476</v>
      </c>
      <c r="L21" s="457">
        <f>IF('T6-Zamestnanci_a_mzdy'!F21-'T6a-Zamestnanci_a_mzdy (ženy)'!F21=0,0,('T6-Zamestnanci_a_mzdy'!J21-'T6a-Zamestnanci_a_mzdy (ženy)'!J21)/('T6-Zamestnanci_a_mzdy'!F21-'T6a-Zamestnanci_a_mzdy (ženy)'!F21)/12)</f>
        <v>725.10046677849903</v>
      </c>
      <c r="M21" s="666">
        <v>485.83</v>
      </c>
      <c r="N21" s="667">
        <v>538.04</v>
      </c>
      <c r="O21" s="668">
        <v>651.41999999999996</v>
      </c>
    </row>
    <row r="22" spans="1:15" ht="47.25" x14ac:dyDescent="0.2">
      <c r="A22" s="29">
        <v>15</v>
      </c>
      <c r="B22" s="44" t="s">
        <v>324</v>
      </c>
      <c r="C22" s="61">
        <f>SUM(C23:C26)</f>
        <v>0</v>
      </c>
      <c r="D22" s="61">
        <f>SUM(D23:D26)</f>
        <v>0</v>
      </c>
      <c r="E22" s="61">
        <f>SUM(E23:E26)</f>
        <v>0</v>
      </c>
      <c r="F22" s="61">
        <f>SUM(F27:F27)</f>
        <v>0</v>
      </c>
      <c r="G22" s="61">
        <f>SUM(G23:G26)</f>
        <v>0</v>
      </c>
      <c r="H22" s="61">
        <f>SUM(H23:H26)</f>
        <v>0</v>
      </c>
      <c r="I22" s="61">
        <f>SUM(I23:I26)</f>
        <v>0</v>
      </c>
      <c r="J22" s="151">
        <f>SUM(J23:J26)</f>
        <v>0</v>
      </c>
      <c r="K22" s="358">
        <f t="shared" si="2"/>
        <v>0</v>
      </c>
      <c r="L22" s="457">
        <f>IF('T6-Zamestnanci_a_mzdy'!F22-'T6a-Zamestnanci_a_mzdy (ženy)'!F22=0,0,('T6-Zamestnanci_a_mzdy'!J22-'T6a-Zamestnanci_a_mzdy (ženy)'!J22)/('T6-Zamestnanci_a_mzdy'!F22-'T6a-Zamestnanci_a_mzdy (ženy)'!F22)/12)</f>
        <v>0</v>
      </c>
      <c r="M22" s="452" t="s">
        <v>317</v>
      </c>
      <c r="N22" s="452" t="s">
        <v>317</v>
      </c>
      <c r="O22" s="452" t="s">
        <v>317</v>
      </c>
    </row>
    <row r="23" spans="1:15" x14ac:dyDescent="0.2">
      <c r="A23" s="29" t="s">
        <v>281</v>
      </c>
      <c r="B23" s="45"/>
      <c r="C23" s="148"/>
      <c r="D23" s="148"/>
      <c r="E23" s="148"/>
      <c r="F23" s="61">
        <f t="shared" ref="F23:F29" si="5">C23+E23</f>
        <v>0</v>
      </c>
      <c r="G23" s="148"/>
      <c r="H23" s="148"/>
      <c r="I23" s="148"/>
      <c r="J23" s="151">
        <f>G23+I23</f>
        <v>0</v>
      </c>
      <c r="K23" s="358">
        <f t="shared" si="2"/>
        <v>0</v>
      </c>
      <c r="L23" s="457">
        <f>IF('T6-Zamestnanci_a_mzdy'!F23-'T6a-Zamestnanci_a_mzdy (ženy)'!F23=0,0,('T6-Zamestnanci_a_mzdy'!J23-'T6a-Zamestnanci_a_mzdy (ženy)'!J23)/('T6-Zamestnanci_a_mzdy'!F23-'T6a-Zamestnanci_a_mzdy (ženy)'!F23)/12)</f>
        <v>0</v>
      </c>
      <c r="M23" s="452" t="s">
        <v>317</v>
      </c>
      <c r="N23" s="452" t="s">
        <v>317</v>
      </c>
      <c r="O23" s="452" t="s">
        <v>317</v>
      </c>
    </row>
    <row r="24" spans="1:15" x14ac:dyDescent="0.2">
      <c r="A24" s="29" t="s">
        <v>393</v>
      </c>
      <c r="B24" s="45"/>
      <c r="C24" s="148"/>
      <c r="D24" s="148"/>
      <c r="E24" s="148"/>
      <c r="F24" s="61">
        <f t="shared" si="5"/>
        <v>0</v>
      </c>
      <c r="G24" s="148"/>
      <c r="H24" s="148"/>
      <c r="I24" s="148"/>
      <c r="J24" s="151">
        <f>G24+I24</f>
        <v>0</v>
      </c>
      <c r="K24" s="358">
        <f t="shared" si="2"/>
        <v>0</v>
      </c>
      <c r="L24" s="457">
        <f>IF('T6-Zamestnanci_a_mzdy'!F24-'T6a-Zamestnanci_a_mzdy (ženy)'!F24=0,0,('T6-Zamestnanci_a_mzdy'!J24-'T6a-Zamestnanci_a_mzdy (ženy)'!J24)/('T6-Zamestnanci_a_mzdy'!F24-'T6a-Zamestnanci_a_mzdy (ženy)'!F24)/12)</f>
        <v>0</v>
      </c>
      <c r="M24" s="452" t="s">
        <v>317</v>
      </c>
      <c r="N24" s="452" t="s">
        <v>317</v>
      </c>
      <c r="O24" s="452" t="s">
        <v>317</v>
      </c>
    </row>
    <row r="25" spans="1:15" x14ac:dyDescent="0.2">
      <c r="A25" s="29" t="s">
        <v>394</v>
      </c>
      <c r="B25" s="45"/>
      <c r="C25" s="148"/>
      <c r="D25" s="148"/>
      <c r="E25" s="148"/>
      <c r="F25" s="61">
        <f t="shared" si="5"/>
        <v>0</v>
      </c>
      <c r="G25" s="148"/>
      <c r="H25" s="148"/>
      <c r="I25" s="148"/>
      <c r="J25" s="151">
        <f>G25+I25</f>
        <v>0</v>
      </c>
      <c r="K25" s="358">
        <f t="shared" si="2"/>
        <v>0</v>
      </c>
      <c r="L25" s="457">
        <f>IF('T6-Zamestnanci_a_mzdy'!F25-'T6a-Zamestnanci_a_mzdy (ženy)'!F25=0,0,('T6-Zamestnanci_a_mzdy'!J25-'T6a-Zamestnanci_a_mzdy (ženy)'!J25)/('T6-Zamestnanci_a_mzdy'!F25-'T6a-Zamestnanci_a_mzdy (ženy)'!F25)/12)</f>
        <v>0</v>
      </c>
      <c r="M25" s="452" t="s">
        <v>317</v>
      </c>
      <c r="N25" s="452" t="s">
        <v>317</v>
      </c>
      <c r="O25" s="452" t="s">
        <v>317</v>
      </c>
    </row>
    <row r="26" spans="1:15" ht="16.5" customHeight="1" x14ac:dyDescent="0.2">
      <c r="A26" s="29" t="s">
        <v>395</v>
      </c>
      <c r="B26" s="45"/>
      <c r="C26" s="148"/>
      <c r="D26" s="148"/>
      <c r="E26" s="148"/>
      <c r="F26" s="61">
        <f t="shared" si="5"/>
        <v>0</v>
      </c>
      <c r="G26" s="148"/>
      <c r="H26" s="148"/>
      <c r="I26" s="148"/>
      <c r="J26" s="151">
        <f>G26+I26</f>
        <v>0</v>
      </c>
      <c r="K26" s="358">
        <f t="shared" si="2"/>
        <v>0</v>
      </c>
      <c r="L26" s="457">
        <f>IF('T6-Zamestnanci_a_mzdy'!F26-'T6a-Zamestnanci_a_mzdy (ženy)'!F26=0,0,('T6-Zamestnanci_a_mzdy'!J26-'T6a-Zamestnanci_a_mzdy (ženy)'!J26)/('T6-Zamestnanci_a_mzdy'!F26-'T6a-Zamestnanci_a_mzdy (ženy)'!F26)/12)</f>
        <v>0</v>
      </c>
      <c r="M26" s="452" t="s">
        <v>317</v>
      </c>
      <c r="N26" s="452" t="s">
        <v>317</v>
      </c>
      <c r="O26" s="452" t="s">
        <v>317</v>
      </c>
    </row>
    <row r="27" spans="1:15" x14ac:dyDescent="0.2">
      <c r="A27" s="29"/>
      <c r="B27" s="25"/>
      <c r="C27" s="149"/>
      <c r="D27" s="149"/>
      <c r="E27" s="149"/>
      <c r="F27" s="150">
        <f t="shared" si="5"/>
        <v>0</v>
      </c>
      <c r="G27" s="149"/>
      <c r="H27" s="149"/>
      <c r="I27" s="149"/>
      <c r="J27" s="315"/>
      <c r="K27" s="315"/>
      <c r="L27" s="461"/>
      <c r="M27" s="458"/>
      <c r="N27" s="459"/>
      <c r="O27" s="460"/>
    </row>
    <row r="28" spans="1:15" x14ac:dyDescent="0.2">
      <c r="A28" s="29">
        <v>16</v>
      </c>
      <c r="B28" s="44" t="s">
        <v>66</v>
      </c>
      <c r="C28" s="653">
        <v>108.63</v>
      </c>
      <c r="D28" s="653">
        <v>108.63</v>
      </c>
      <c r="E28" s="653">
        <v>3.5</v>
      </c>
      <c r="F28" s="61">
        <f t="shared" si="5"/>
        <v>112.13</v>
      </c>
      <c r="G28" s="655">
        <v>917571.7</v>
      </c>
      <c r="H28" s="655">
        <v>917571.7</v>
      </c>
      <c r="I28" s="655">
        <v>260532.3</v>
      </c>
      <c r="J28" s="151">
        <f>G28+I28</f>
        <v>1178104</v>
      </c>
      <c r="K28" s="358">
        <f t="shared" si="2"/>
        <v>875.54921371027683</v>
      </c>
      <c r="L28" s="457">
        <f>IF('T6-Zamestnanci_a_mzdy'!F28-'T6a-Zamestnanci_a_mzdy (ženy)'!F28=0,0,('T6-Zamestnanci_a_mzdy'!J28-'T6a-Zamestnanci_a_mzdy (ženy)'!J28)/('T6-Zamestnanci_a_mzdy'!F28-'T6a-Zamestnanci_a_mzdy (ženy)'!F28)/12)</f>
        <v>929.62993446120993</v>
      </c>
      <c r="M28" s="666">
        <v>612.08000000000004</v>
      </c>
      <c r="N28" s="667">
        <v>775.46</v>
      </c>
      <c r="O28" s="668">
        <v>1051.6099999999999</v>
      </c>
    </row>
    <row r="29" spans="1:15" x14ac:dyDescent="0.2">
      <c r="A29" s="29">
        <v>17</v>
      </c>
      <c r="B29" s="44" t="s">
        <v>67</v>
      </c>
      <c r="C29" s="653"/>
      <c r="D29" s="653"/>
      <c r="E29" s="653">
        <v>40.25</v>
      </c>
      <c r="F29" s="61">
        <f t="shared" si="5"/>
        <v>40.25</v>
      </c>
      <c r="G29" s="655"/>
      <c r="H29" s="655"/>
      <c r="I29" s="655">
        <v>391762.7</v>
      </c>
      <c r="J29" s="151">
        <f>G29+I29</f>
        <v>391762.7</v>
      </c>
      <c r="K29" s="358">
        <f t="shared" si="2"/>
        <v>811.1028985507246</v>
      </c>
      <c r="L29" s="457">
        <f>IF('T6-Zamestnanci_a_mzdy'!F29-'T6a-Zamestnanci_a_mzdy (ženy)'!F29=0,0,('T6-Zamestnanci_a_mzdy'!J29-'T6a-Zamestnanci_a_mzdy (ženy)'!J29)/('T6-Zamestnanci_a_mzdy'!F29-'T6a-Zamestnanci_a_mzdy (ženy)'!F29)/12)</f>
        <v>945.85057119543023</v>
      </c>
      <c r="M29" s="666">
        <v>649.36</v>
      </c>
      <c r="N29" s="667">
        <v>737.1</v>
      </c>
      <c r="O29" s="668">
        <v>907.13</v>
      </c>
    </row>
    <row r="30" spans="1:15" ht="16.5" thickBot="1" x14ac:dyDescent="0.25">
      <c r="A30" s="30">
        <v>18</v>
      </c>
      <c r="B30" s="46" t="s">
        <v>325</v>
      </c>
      <c r="C30" s="62">
        <f t="shared" ref="C30:J30" si="6">C7+C13+C16+C20+C21+C28+C29</f>
        <v>1126.23</v>
      </c>
      <c r="D30" s="62">
        <f t="shared" si="6"/>
        <v>1118.58</v>
      </c>
      <c r="E30" s="62">
        <f t="shared" si="6"/>
        <v>94.289999999999992</v>
      </c>
      <c r="F30" s="62">
        <f t="shared" si="6"/>
        <v>1220.52</v>
      </c>
      <c r="G30" s="62">
        <f t="shared" si="6"/>
        <v>14299752.159999998</v>
      </c>
      <c r="H30" s="62">
        <f t="shared" si="6"/>
        <v>13979996.01</v>
      </c>
      <c r="I30" s="62">
        <f t="shared" si="6"/>
        <v>1862632.4899999998</v>
      </c>
      <c r="J30" s="152">
        <f t="shared" si="6"/>
        <v>16162384.649999999</v>
      </c>
      <c r="K30" s="359">
        <f t="shared" si="2"/>
        <v>1103.5176707468947</v>
      </c>
      <c r="L30" s="462">
        <f>IF('T6-Zamestnanci_a_mzdy'!F30-'T6a-Zamestnanci_a_mzdy (ženy)'!F30=0,0,('T6-Zamestnanci_a_mzdy'!J30-'T6a-Zamestnanci_a_mzdy (ženy)'!J30)/('T6-Zamestnanci_a_mzdy'!F30-'T6a-Zamestnanci_a_mzdy (ženy)'!F30)/12)</f>
        <v>1487.468469216398</v>
      </c>
      <c r="M30" s="669">
        <v>737.05</v>
      </c>
      <c r="N30" s="670">
        <v>1044.83</v>
      </c>
      <c r="O30" s="671">
        <v>1336.46</v>
      </c>
    </row>
    <row r="31" spans="1:15" x14ac:dyDescent="0.2">
      <c r="A31" s="17"/>
      <c r="B31" s="17"/>
      <c r="C31" s="20"/>
      <c r="D31" s="17"/>
      <c r="E31" s="17"/>
      <c r="F31" s="20"/>
      <c r="G31" s="20"/>
      <c r="H31" s="20"/>
      <c r="I31" s="20"/>
      <c r="J31" s="20"/>
      <c r="L31" s="463"/>
      <c r="M31" s="463"/>
      <c r="N31" s="463"/>
      <c r="O31" s="463"/>
    </row>
    <row r="32" spans="1:15" x14ac:dyDescent="0.25">
      <c r="A32" s="769" t="s">
        <v>10</v>
      </c>
      <c r="B32" s="770"/>
      <c r="C32" s="770"/>
      <c r="D32" s="770"/>
      <c r="E32" s="770"/>
      <c r="F32" s="770"/>
      <c r="G32" s="770"/>
      <c r="H32" s="770"/>
      <c r="I32" s="770"/>
      <c r="J32" s="790"/>
      <c r="L32" s="463"/>
      <c r="M32" s="463"/>
      <c r="N32" s="463"/>
      <c r="O32" s="463"/>
    </row>
    <row r="33" spans="1:15" x14ac:dyDescent="0.25">
      <c r="A33" s="778" t="s">
        <v>847</v>
      </c>
      <c r="B33" s="779"/>
      <c r="C33" s="779"/>
      <c r="D33" s="779"/>
      <c r="E33" s="779"/>
      <c r="F33" s="779"/>
      <c r="G33" s="779"/>
      <c r="H33" s="779"/>
      <c r="I33" s="779"/>
      <c r="J33" s="780"/>
      <c r="L33" s="463"/>
      <c r="M33" s="464" t="s">
        <v>1004</v>
      </c>
      <c r="N33" s="463"/>
      <c r="O33" s="463"/>
    </row>
    <row r="34" spans="1:15" ht="50.25" customHeight="1" x14ac:dyDescent="0.2">
      <c r="B34" s="776" t="s">
        <v>748</v>
      </c>
      <c r="C34" s="776"/>
      <c r="D34" s="776"/>
      <c r="E34" s="776"/>
      <c r="F34" s="776"/>
      <c r="G34" s="776"/>
      <c r="H34" s="776"/>
      <c r="I34" s="776"/>
      <c r="J34" s="776"/>
      <c r="L34" s="463"/>
      <c r="M34" s="693"/>
      <c r="N34" s="463"/>
      <c r="O34" s="463"/>
    </row>
    <row r="35" spans="1:15" x14ac:dyDescent="0.2">
      <c r="B35" s="222" t="s">
        <v>724</v>
      </c>
      <c r="L35" s="463"/>
      <c r="M35" s="463"/>
      <c r="N35" s="463"/>
      <c r="O35" s="463"/>
    </row>
    <row r="36" spans="1:15" x14ac:dyDescent="0.2">
      <c r="B36" s="222" t="s">
        <v>725</v>
      </c>
    </row>
    <row r="37" spans="1:15" x14ac:dyDescent="0.2">
      <c r="B37" s="222" t="s">
        <v>726</v>
      </c>
    </row>
  </sheetData>
  <mergeCells count="20">
    <mergeCell ref="N3:N5"/>
    <mergeCell ref="O3:O5"/>
    <mergeCell ref="A32:J32"/>
    <mergeCell ref="A33:J33"/>
    <mergeCell ref="L3:L5"/>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5"/>
  <sheetViews>
    <sheetView zoomScaleNormal="100" workbookViewId="0">
      <pane xSplit="2" ySplit="4" topLeftCell="C5" activePane="bottomRight" state="frozen"/>
      <selection pane="topRight" activeCell="C1" sqref="C1"/>
      <selection pane="bottomLeft" activeCell="A7" sqref="A7"/>
      <selection pane="bottomRight" activeCell="E15" sqref="E15"/>
    </sheetView>
  </sheetViews>
  <sheetFormatPr defaultColWidth="9.140625" defaultRowHeight="15.75" x14ac:dyDescent="0.25"/>
  <cols>
    <col min="1" max="1" width="9.140625" style="158"/>
    <col min="2" max="2" width="69.7109375" style="158" customWidth="1"/>
    <col min="3" max="3" width="18" style="158" bestFit="1" customWidth="1"/>
    <col min="4" max="4" width="20.28515625" style="158" bestFit="1" customWidth="1"/>
    <col min="5" max="5" width="26.42578125" style="158" customWidth="1"/>
    <col min="6" max="16384" width="9.140625" style="158"/>
  </cols>
  <sheetData>
    <row r="1" spans="1:6" ht="39.75" customHeight="1" thickBot="1" x14ac:dyDescent="0.3">
      <c r="A1" s="793" t="s">
        <v>1154</v>
      </c>
      <c r="B1" s="794"/>
      <c r="C1" s="794"/>
      <c r="D1" s="794"/>
      <c r="E1" s="795"/>
    </row>
    <row r="2" spans="1:6" ht="44.25" customHeight="1" thickBot="1" x14ac:dyDescent="0.3">
      <c r="A2" s="796" t="s">
        <v>1260</v>
      </c>
      <c r="B2" s="797"/>
      <c r="C2" s="797"/>
      <c r="D2" s="797"/>
      <c r="E2" s="798"/>
    </row>
    <row r="3" spans="1:6" ht="65.25" customHeight="1" x14ac:dyDescent="0.25">
      <c r="A3" s="414" t="s">
        <v>205</v>
      </c>
      <c r="B3" s="415" t="s">
        <v>332</v>
      </c>
      <c r="C3" s="416" t="s">
        <v>980</v>
      </c>
      <c r="D3" s="416" t="s">
        <v>1141</v>
      </c>
      <c r="E3" s="417" t="s">
        <v>789</v>
      </c>
    </row>
    <row r="4" spans="1:6" ht="26.25" customHeight="1" x14ac:dyDescent="0.25">
      <c r="A4" s="418"/>
      <c r="B4" s="413"/>
      <c r="C4" s="412" t="s">
        <v>286</v>
      </c>
      <c r="D4" s="412" t="s">
        <v>287</v>
      </c>
      <c r="E4" s="419" t="s">
        <v>979</v>
      </c>
    </row>
    <row r="5" spans="1:6" ht="35.25" customHeight="1" thickBot="1" x14ac:dyDescent="0.3">
      <c r="A5" s="423">
        <v>1</v>
      </c>
      <c r="B5" s="424" t="s">
        <v>1142</v>
      </c>
      <c r="C5" s="696">
        <v>3256980.46</v>
      </c>
      <c r="D5" s="696">
        <v>21605</v>
      </c>
      <c r="E5" s="697">
        <f>C5+D5</f>
        <v>3278585.46</v>
      </c>
      <c r="F5" s="518"/>
    </row>
    <row r="6" spans="1:6" ht="30.75" customHeight="1" thickTop="1" x14ac:dyDescent="0.25">
      <c r="A6" s="421">
        <v>2</v>
      </c>
      <c r="B6" s="422" t="s">
        <v>1143</v>
      </c>
      <c r="C6" s="698">
        <v>5055</v>
      </c>
      <c r="D6" s="698">
        <v>40</v>
      </c>
      <c r="E6" s="699">
        <f>C6+D6</f>
        <v>5095</v>
      </c>
      <c r="F6" s="518"/>
    </row>
    <row r="7" spans="1:6" ht="31.5" customHeight="1" thickBot="1" x14ac:dyDescent="0.3">
      <c r="A7" s="266">
        <v>3</v>
      </c>
      <c r="B7" s="420" t="s">
        <v>400</v>
      </c>
      <c r="C7" s="425">
        <f>IF(C6=0,0,+C5/C6)</f>
        <v>644.30869634025714</v>
      </c>
      <c r="D7" s="425">
        <f>IF(D6=0,0,+D5/D6)</f>
        <v>540.125</v>
      </c>
      <c r="E7" s="426">
        <f>IF(E6=0,0,+E5/E6)</f>
        <v>643.49076741903832</v>
      </c>
      <c r="F7" s="518"/>
    </row>
    <row r="8" spans="1:6" x14ac:dyDescent="0.25">
      <c r="F8" s="518"/>
    </row>
    <row r="9" spans="1:6" ht="51" customHeight="1" x14ac:dyDescent="0.25">
      <c r="A9" s="799" t="s">
        <v>1134</v>
      </c>
      <c r="B9" s="799"/>
      <c r="D9" s="700"/>
      <c r="E9" s="700"/>
      <c r="F9" s="518"/>
    </row>
    <row r="10" spans="1:6" x14ac:dyDescent="0.25">
      <c r="D10" s="700"/>
      <c r="E10" s="700"/>
    </row>
    <row r="11" spans="1:6" x14ac:dyDescent="0.25">
      <c r="A11" s="427" t="s">
        <v>998</v>
      </c>
    </row>
    <row r="12" spans="1:6" x14ac:dyDescent="0.25">
      <c r="A12" s="158" t="s">
        <v>999</v>
      </c>
    </row>
    <row r="13" spans="1:6" x14ac:dyDescent="0.25">
      <c r="C13" s="518"/>
      <c r="D13" s="518"/>
      <c r="E13" s="518"/>
    </row>
    <row r="14" spans="1:6" x14ac:dyDescent="0.25">
      <c r="D14" s="518"/>
    </row>
    <row r="15" spans="1:6" ht="30" customHeight="1" x14ac:dyDescent="0.25">
      <c r="B15" s="647"/>
      <c r="C15" s="648"/>
      <c r="D15" s="518"/>
      <c r="E15" s="649"/>
    </row>
  </sheetData>
  <mergeCells count="3">
    <mergeCell ref="A1:E1"/>
    <mergeCell ref="A2:E2"/>
    <mergeCell ref="A9:B9"/>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F15"/>
  <sheetViews>
    <sheetView zoomScale="70" zoomScaleNormal="70" workbookViewId="0">
      <pane xSplit="2" ySplit="5" topLeftCell="C6" activePane="bottomRight" state="frozen"/>
      <selection pane="topRight" activeCell="C1" sqref="C1"/>
      <selection pane="bottomLeft" activeCell="A6" sqref="A6"/>
      <selection pane="bottomRight" activeCell="K17" sqref="K17"/>
    </sheetView>
  </sheetViews>
  <sheetFormatPr defaultColWidth="9.140625" defaultRowHeight="15.75" x14ac:dyDescent="0.2"/>
  <cols>
    <col min="1" max="1" width="8.140625" style="18" customWidth="1"/>
    <col min="2" max="2" width="93.140625" style="71" customWidth="1"/>
    <col min="3" max="3" width="17.28515625" style="18" customWidth="1"/>
    <col min="4" max="4" width="17.140625" style="18" customWidth="1"/>
    <col min="5" max="5" width="15.7109375" style="18" customWidth="1"/>
    <col min="6" max="6" width="18" style="18" customWidth="1"/>
    <col min="7" max="16384" width="9.140625" style="18"/>
  </cols>
  <sheetData>
    <row r="1" spans="1:6" ht="50.1" customHeight="1" thickBot="1" x14ac:dyDescent="0.25">
      <c r="A1" s="806" t="s">
        <v>1108</v>
      </c>
      <c r="B1" s="807"/>
      <c r="C1" s="807"/>
      <c r="D1" s="807"/>
      <c r="E1" s="807"/>
      <c r="F1" s="808"/>
    </row>
    <row r="2" spans="1:6" ht="36.75" customHeight="1" x14ac:dyDescent="0.2">
      <c r="A2" s="752" t="s">
        <v>1259</v>
      </c>
      <c r="B2" s="817"/>
      <c r="C2" s="818" t="s">
        <v>814</v>
      </c>
      <c r="D2" s="818"/>
      <c r="E2" s="818"/>
      <c r="F2" s="819"/>
    </row>
    <row r="3" spans="1:6" ht="33" customHeight="1" x14ac:dyDescent="0.2">
      <c r="A3" s="815" t="s">
        <v>205</v>
      </c>
      <c r="B3" s="813" t="s">
        <v>332</v>
      </c>
      <c r="C3" s="809">
        <v>2017</v>
      </c>
      <c r="D3" s="810"/>
      <c r="E3" s="811">
        <v>2018</v>
      </c>
      <c r="F3" s="812"/>
    </row>
    <row r="4" spans="1:6" ht="69" customHeight="1" x14ac:dyDescent="0.2">
      <c r="A4" s="816"/>
      <c r="B4" s="814"/>
      <c r="C4" s="112" t="s">
        <v>747</v>
      </c>
      <c r="D4" s="112" t="s">
        <v>188</v>
      </c>
      <c r="E4" s="112" t="s">
        <v>747</v>
      </c>
      <c r="F4" s="27" t="s">
        <v>275</v>
      </c>
    </row>
    <row r="5" spans="1:6" x14ac:dyDescent="0.2">
      <c r="A5" s="118"/>
      <c r="B5" s="87"/>
      <c r="C5" s="35" t="s">
        <v>286</v>
      </c>
      <c r="D5" s="35" t="s">
        <v>287</v>
      </c>
      <c r="E5" s="84" t="s">
        <v>288</v>
      </c>
      <c r="F5" s="94" t="s">
        <v>295</v>
      </c>
    </row>
    <row r="6" spans="1:6" ht="38.25" customHeight="1" x14ac:dyDescent="0.2">
      <c r="A6" s="29">
        <v>1</v>
      </c>
      <c r="B6" s="88" t="s">
        <v>73</v>
      </c>
      <c r="C6" s="503">
        <v>1065285</v>
      </c>
      <c r="D6" s="504" t="s">
        <v>317</v>
      </c>
      <c r="E6" s="503">
        <v>767815</v>
      </c>
      <c r="F6" s="505" t="s">
        <v>317</v>
      </c>
    </row>
    <row r="7" spans="1:6" ht="38.25" customHeight="1" x14ac:dyDescent="0.2">
      <c r="A7" s="29">
        <f>A6+1</f>
        <v>2</v>
      </c>
      <c r="B7" s="88" t="s">
        <v>342</v>
      </c>
      <c r="C7" s="504" t="s">
        <v>317</v>
      </c>
      <c r="D7" s="506">
        <v>6544</v>
      </c>
      <c r="E7" s="504" t="s">
        <v>317</v>
      </c>
      <c r="F7" s="507">
        <v>4688</v>
      </c>
    </row>
    <row r="8" spans="1:6" ht="38.25" customHeight="1" x14ac:dyDescent="0.2">
      <c r="A8" s="29">
        <f>A7+1</f>
        <v>3</v>
      </c>
      <c r="B8" s="88" t="s">
        <v>779</v>
      </c>
      <c r="C8" s="504" t="s">
        <v>317</v>
      </c>
      <c r="D8" s="506">
        <v>880</v>
      </c>
      <c r="E8" s="504" t="s">
        <v>317</v>
      </c>
      <c r="F8" s="507">
        <v>671</v>
      </c>
    </row>
    <row r="9" spans="1:6" ht="35.25" customHeight="1" x14ac:dyDescent="0.2">
      <c r="A9" s="29">
        <f>A8+1</f>
        <v>4</v>
      </c>
      <c r="B9" s="68" t="s">
        <v>701</v>
      </c>
      <c r="C9" s="503">
        <v>402787.97</v>
      </c>
      <c r="D9" s="504" t="s">
        <v>317</v>
      </c>
      <c r="E9" s="508">
        <f>+C11</f>
        <v>329984.96999999997</v>
      </c>
      <c r="F9" s="505" t="s">
        <v>317</v>
      </c>
    </row>
    <row r="10" spans="1:6" ht="37.5" customHeight="1" x14ac:dyDescent="0.2">
      <c r="A10" s="29">
        <f>A9+1</f>
        <v>5</v>
      </c>
      <c r="B10" s="68" t="s">
        <v>776</v>
      </c>
      <c r="C10" s="503">
        <v>992482</v>
      </c>
      <c r="D10" s="504" t="s">
        <v>317</v>
      </c>
      <c r="E10" s="509">
        <v>699911</v>
      </c>
      <c r="F10" s="505" t="s">
        <v>317</v>
      </c>
    </row>
    <row r="11" spans="1:6" ht="33" customHeight="1" x14ac:dyDescent="0.2">
      <c r="A11" s="29">
        <v>6</v>
      </c>
      <c r="B11" s="68" t="s">
        <v>248</v>
      </c>
      <c r="C11" s="510">
        <f>+C9+C10-C6</f>
        <v>329984.96999999997</v>
      </c>
      <c r="D11" s="504" t="s">
        <v>317</v>
      </c>
      <c r="E11" s="508">
        <f>+E9+E10-E6</f>
        <v>262080.96999999997</v>
      </c>
      <c r="F11" s="505" t="s">
        <v>317</v>
      </c>
    </row>
    <row r="12" spans="1:6" ht="36" customHeight="1" thickBot="1" x14ac:dyDescent="0.25">
      <c r="A12" s="30">
        <v>7</v>
      </c>
      <c r="B12" s="80" t="s">
        <v>249</v>
      </c>
      <c r="C12" s="511">
        <f>IF(C6=0,0,C6/D7)</f>
        <v>162.78805012224939</v>
      </c>
      <c r="D12" s="512" t="s">
        <v>317</v>
      </c>
      <c r="E12" s="511">
        <f>IF(E6=0,0,E6/F7)</f>
        <v>163.78306313993173</v>
      </c>
      <c r="F12" s="513" t="s">
        <v>317</v>
      </c>
    </row>
    <row r="13" spans="1:6" x14ac:dyDescent="0.2">
      <c r="B13" s="20"/>
    </row>
    <row r="14" spans="1:6" x14ac:dyDescent="0.2">
      <c r="A14" s="800" t="s">
        <v>82</v>
      </c>
      <c r="B14" s="801"/>
      <c r="C14" s="801"/>
      <c r="D14" s="801"/>
      <c r="E14" s="801"/>
      <c r="F14" s="802"/>
    </row>
    <row r="15" spans="1:6" x14ac:dyDescent="0.2">
      <c r="A15" s="803" t="s">
        <v>381</v>
      </c>
      <c r="B15" s="804"/>
      <c r="C15" s="804"/>
      <c r="D15" s="804"/>
      <c r="E15" s="804"/>
      <c r="F15" s="805"/>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F21"/>
  <sheetViews>
    <sheetView zoomScaleNormal="100" workbookViewId="0">
      <pane xSplit="2" ySplit="5" topLeftCell="C6" activePane="bottomRight" state="frozen"/>
      <selection pane="topRight" activeCell="C1" sqref="C1"/>
      <selection pane="bottomLeft" activeCell="A6" sqref="A6"/>
      <selection pane="bottomRight" activeCell="G1" sqref="G1:P1048576"/>
    </sheetView>
  </sheetViews>
  <sheetFormatPr defaultColWidth="9.140625" defaultRowHeight="12.75" x14ac:dyDescent="0.2"/>
  <cols>
    <col min="1" max="1" width="8.28515625" style="86" customWidth="1"/>
    <col min="2" max="2" width="77.7109375" style="86" customWidth="1"/>
    <col min="3" max="6" width="14.7109375" style="86" customWidth="1"/>
    <col min="7" max="16384" width="9.140625" style="86"/>
  </cols>
  <sheetData>
    <row r="1" spans="1:6" ht="50.1" customHeight="1" x14ac:dyDescent="0.2">
      <c r="A1" s="823" t="s">
        <v>1109</v>
      </c>
      <c r="B1" s="824"/>
      <c r="C1" s="824"/>
      <c r="D1" s="824"/>
      <c r="E1" s="824"/>
      <c r="F1" s="825"/>
    </row>
    <row r="2" spans="1:6" ht="33" customHeight="1" x14ac:dyDescent="0.2">
      <c r="A2" s="827" t="s">
        <v>1201</v>
      </c>
      <c r="B2" s="828"/>
      <c r="C2" s="828"/>
      <c r="D2" s="828"/>
      <c r="E2" s="828"/>
      <c r="F2" s="828"/>
    </row>
    <row r="3" spans="1:6" ht="18.75" customHeight="1" x14ac:dyDescent="0.2">
      <c r="A3" s="815" t="s">
        <v>205</v>
      </c>
      <c r="B3" s="781" t="s">
        <v>332</v>
      </c>
      <c r="C3" s="777" t="s">
        <v>784</v>
      </c>
      <c r="D3" s="777"/>
      <c r="E3" s="777" t="s">
        <v>354</v>
      </c>
      <c r="F3" s="777"/>
    </row>
    <row r="4" spans="1:6" ht="18.75" customHeight="1" x14ac:dyDescent="0.2">
      <c r="A4" s="826"/>
      <c r="B4" s="781"/>
      <c r="C4" s="93">
        <v>2017</v>
      </c>
      <c r="D4" s="93">
        <v>2018</v>
      </c>
      <c r="E4" s="93">
        <v>2017</v>
      </c>
      <c r="F4" s="93">
        <v>2018</v>
      </c>
    </row>
    <row r="5" spans="1:6" ht="15.75" x14ac:dyDescent="0.2">
      <c r="A5" s="29"/>
      <c r="B5" s="83"/>
      <c r="C5" s="23" t="s">
        <v>286</v>
      </c>
      <c r="D5" s="23" t="s">
        <v>287</v>
      </c>
      <c r="E5" s="35" t="s">
        <v>288</v>
      </c>
      <c r="F5" s="84" t="s">
        <v>295</v>
      </c>
    </row>
    <row r="6" spans="1:6" ht="31.5" x14ac:dyDescent="0.2">
      <c r="A6" s="29">
        <v>1</v>
      </c>
      <c r="B6" s="328" t="s">
        <v>707</v>
      </c>
      <c r="C6" s="81" t="s">
        <v>317</v>
      </c>
      <c r="D6" s="81" t="s">
        <v>317</v>
      </c>
      <c r="E6" s="140">
        <f>'[3]T9_ŠD '!E6+[3]T9_ŠDMTF!E6</f>
        <v>7802</v>
      </c>
      <c r="F6" s="140">
        <f>'[3]T9_ŠD '!F6+[3]T9_ŠDMTF!F6</f>
        <v>7802</v>
      </c>
    </row>
    <row r="7" spans="1:6" ht="37.5" x14ac:dyDescent="0.2">
      <c r="A7" s="29">
        <f>A6+1</f>
        <v>2</v>
      </c>
      <c r="B7" s="64" t="s">
        <v>343</v>
      </c>
      <c r="C7" s="81" t="s">
        <v>317</v>
      </c>
      <c r="D7" s="81" t="s">
        <v>317</v>
      </c>
      <c r="E7" s="147">
        <f>'[3]T9_ŠD '!E7+[3]T9_ŠDMTF!E7</f>
        <v>63712</v>
      </c>
      <c r="F7" s="140">
        <f>'[3]T9_ŠD '!F7+[3]T9_ŠDMTF!F7</f>
        <v>64422</v>
      </c>
    </row>
    <row r="8" spans="1:6" ht="15.75" x14ac:dyDescent="0.2">
      <c r="A8" s="29">
        <v>3</v>
      </c>
      <c r="B8" s="79" t="s">
        <v>273</v>
      </c>
      <c r="C8" s="81" t="s">
        <v>317</v>
      </c>
      <c r="D8" s="81" t="s">
        <v>317</v>
      </c>
      <c r="E8" s="61">
        <f>E7/12</f>
        <v>5309.333333333333</v>
      </c>
      <c r="F8" s="61">
        <f>F7/12</f>
        <v>5368.5</v>
      </c>
    </row>
    <row r="9" spans="1:6" ht="31.5" x14ac:dyDescent="0.2">
      <c r="A9" s="29">
        <f t="shared" ref="A9:A18" si="0">A8+1</f>
        <v>4</v>
      </c>
      <c r="B9" s="64" t="s">
        <v>357</v>
      </c>
      <c r="C9" s="498">
        <f>'[3]T9_ŠD '!C9+[3]T9_ŠDMTF!C9</f>
        <v>3966890.3400000003</v>
      </c>
      <c r="D9" s="498">
        <f>'[3]T9_ŠD '!D9+[3]T9_ŠDMTF!D9</f>
        <v>3880459.2</v>
      </c>
      <c r="E9" s="81" t="s">
        <v>317</v>
      </c>
      <c r="F9" s="81" t="s">
        <v>317</v>
      </c>
    </row>
    <row r="10" spans="1:6" ht="31.5" x14ac:dyDescent="0.2">
      <c r="A10" s="29">
        <f t="shared" si="0"/>
        <v>5</v>
      </c>
      <c r="B10" s="64" t="s">
        <v>374</v>
      </c>
      <c r="C10" s="498">
        <f>'[3]T9_ŠD '!C10+[3]T9_ŠDMTF!C10</f>
        <v>56771.3</v>
      </c>
      <c r="D10" s="498">
        <f>'[3]T9_ŠD '!D10+[3]T9_ŠDMTF!D10</f>
        <v>61301.4</v>
      </c>
      <c r="E10" s="51">
        <f>'[4]T9_ŠD '!E10+[4]T9_ŠDMTF!E10</f>
        <v>451</v>
      </c>
      <c r="F10" s="51">
        <f>'[4]T9_ŠD '!F10+[4]T9_ŠDMTF!F10</f>
        <v>381</v>
      </c>
    </row>
    <row r="11" spans="1:6" ht="31.5" x14ac:dyDescent="0.2">
      <c r="A11" s="29">
        <f t="shared" si="0"/>
        <v>6</v>
      </c>
      <c r="B11" s="64" t="s">
        <v>1177</v>
      </c>
      <c r="C11" s="498">
        <f>'[3]T9_ŠD '!C11+[3]T9_ŠDMTF!C11</f>
        <v>2815577.64</v>
      </c>
      <c r="D11" s="498">
        <f>'[3]T9_ŠD '!D11+[3]T9_ŠDMTF!D11</f>
        <v>3033578.47</v>
      </c>
      <c r="E11" s="81" t="s">
        <v>317</v>
      </c>
      <c r="F11" s="81" t="s">
        <v>317</v>
      </c>
    </row>
    <row r="12" spans="1:6" ht="15.75" x14ac:dyDescent="0.2">
      <c r="A12" s="29">
        <f t="shared" si="0"/>
        <v>7</v>
      </c>
      <c r="B12" s="64" t="s">
        <v>355</v>
      </c>
      <c r="C12" s="498">
        <f>'[3]T9_ŠD '!C12+[3]T9_ŠDMTF!C12</f>
        <v>29768</v>
      </c>
      <c r="D12" s="498">
        <f>'[3]T9_ŠD '!D12+[3]T9_ŠDMTF!D12</f>
        <v>1288</v>
      </c>
      <c r="E12" s="81" t="s">
        <v>317</v>
      </c>
      <c r="F12" s="81" t="s">
        <v>317</v>
      </c>
    </row>
    <row r="13" spans="1:6" ht="15.75" x14ac:dyDescent="0.2">
      <c r="A13" s="29">
        <f t="shared" si="0"/>
        <v>8</v>
      </c>
      <c r="B13" s="64" t="s">
        <v>375</v>
      </c>
      <c r="C13" s="516">
        <f>SUM(C9:C12)</f>
        <v>6869007.2800000003</v>
      </c>
      <c r="D13" s="516">
        <f>SUM(D9:D12)</f>
        <v>6976627.0700000003</v>
      </c>
      <c r="E13" s="81" t="s">
        <v>317</v>
      </c>
      <c r="F13" s="81" t="s">
        <v>317</v>
      </c>
    </row>
    <row r="14" spans="1:6" ht="15.75" x14ac:dyDescent="0.2">
      <c r="A14" s="29">
        <f t="shared" si="0"/>
        <v>9</v>
      </c>
      <c r="B14" s="64" t="s">
        <v>376</v>
      </c>
      <c r="C14" s="516">
        <f>C15+C16</f>
        <v>6272664.8799999999</v>
      </c>
      <c r="D14" s="516">
        <f>D15+D16</f>
        <v>5905487.3499999996</v>
      </c>
      <c r="E14" s="81" t="s">
        <v>317</v>
      </c>
      <c r="F14" s="81" t="s">
        <v>317</v>
      </c>
    </row>
    <row r="15" spans="1:6" ht="15.75" x14ac:dyDescent="0.2">
      <c r="A15" s="29">
        <f t="shared" si="0"/>
        <v>10</v>
      </c>
      <c r="B15" s="45" t="s">
        <v>60</v>
      </c>
      <c r="C15" s="498">
        <f>'[3]T9_ŠD '!C15+[3]T9_ŠDMTF!C15</f>
        <v>2229366.11</v>
      </c>
      <c r="D15" s="498">
        <f>'[3]T9_ŠD '!D15+[3]T9_ŠDMTF!D15</f>
        <v>2384660.1100000003</v>
      </c>
      <c r="E15" s="81" t="s">
        <v>317</v>
      </c>
      <c r="F15" s="81" t="s">
        <v>317</v>
      </c>
    </row>
    <row r="16" spans="1:6" ht="15.75" x14ac:dyDescent="0.2">
      <c r="A16" s="29">
        <f t="shared" si="0"/>
        <v>11</v>
      </c>
      <c r="B16" s="45" t="s">
        <v>61</v>
      </c>
      <c r="C16" s="498">
        <f>'[3]T9_ŠD '!C16+[3]T9_ŠDMTF!C16</f>
        <v>4043298.77</v>
      </c>
      <c r="D16" s="498">
        <f>'[3]T9_ŠD '!D16+[3]T9_ŠDMTF!D16</f>
        <v>3520827.2399999993</v>
      </c>
      <c r="E16" s="81" t="s">
        <v>317</v>
      </c>
      <c r="F16" s="81" t="s">
        <v>317</v>
      </c>
    </row>
    <row r="17" spans="1:6" ht="31.5" x14ac:dyDescent="0.2">
      <c r="A17" s="29">
        <f t="shared" si="0"/>
        <v>12</v>
      </c>
      <c r="B17" s="64" t="s">
        <v>377</v>
      </c>
      <c r="C17" s="516">
        <f>+C13-C14</f>
        <v>596342.40000000037</v>
      </c>
      <c r="D17" s="516">
        <f>+D13-D14</f>
        <v>1071139.7200000007</v>
      </c>
      <c r="E17" s="81" t="s">
        <v>317</v>
      </c>
      <c r="F17" s="81" t="s">
        <v>317</v>
      </c>
    </row>
    <row r="18" spans="1:6" ht="16.5" thickBot="1" x14ac:dyDescent="0.25">
      <c r="A18" s="30">
        <f t="shared" si="0"/>
        <v>13</v>
      </c>
      <c r="B18" s="91" t="s">
        <v>378</v>
      </c>
      <c r="C18" s="385">
        <f>IF(E8=0,0,C14/E8)</f>
        <v>1181.4411501757911</v>
      </c>
      <c r="D18" s="385">
        <f>IF(F8=0,0,D14/F8)</f>
        <v>1100.0255844276799</v>
      </c>
      <c r="E18" s="82" t="s">
        <v>317</v>
      </c>
      <c r="F18" s="82" t="s">
        <v>317</v>
      </c>
    </row>
    <row r="20" spans="1:6" ht="15" x14ac:dyDescent="0.2">
      <c r="A20" s="800" t="s">
        <v>356</v>
      </c>
      <c r="B20" s="801"/>
      <c r="C20" s="801"/>
      <c r="D20" s="801"/>
      <c r="E20" s="801"/>
      <c r="F20" s="802"/>
    </row>
    <row r="21" spans="1:6" ht="35.25" customHeight="1" x14ac:dyDescent="0.2">
      <c r="A21" s="820" t="s">
        <v>87</v>
      </c>
      <c r="B21" s="821"/>
      <c r="C21" s="821"/>
      <c r="D21" s="821"/>
      <c r="E21" s="821"/>
      <c r="F21" s="822"/>
    </row>
  </sheetData>
  <mergeCells count="8">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7"/>
  <sheetViews>
    <sheetView zoomScaleNormal="100" workbookViewId="0">
      <pane xSplit="2" ySplit="4" topLeftCell="C5" activePane="bottomRight" state="frozen"/>
      <selection pane="topRight" activeCell="C1" sqref="C1"/>
      <selection pane="bottomLeft" activeCell="A5" sqref="A5"/>
      <selection pane="bottomRight" activeCell="L4" sqref="L4"/>
    </sheetView>
  </sheetViews>
  <sheetFormatPr defaultColWidth="9.140625" defaultRowHeight="15.75" x14ac:dyDescent="0.25"/>
  <cols>
    <col min="1" max="1" width="8.140625" style="236" customWidth="1"/>
    <col min="2" max="2" width="94" style="255" customWidth="1"/>
    <col min="3" max="3" width="18.7109375" style="236" customWidth="1"/>
    <col min="4" max="4" width="18.5703125" style="236" customWidth="1"/>
    <col min="5" max="5" width="13.140625" style="237" bestFit="1" customWidth="1"/>
    <col min="6" max="16384" width="9.140625" style="236"/>
  </cols>
  <sheetData>
    <row r="1" spans="1:11" ht="50.1" customHeight="1" thickBot="1" x14ac:dyDescent="0.3">
      <c r="A1" s="832" t="s">
        <v>1110</v>
      </c>
      <c r="B1" s="833"/>
      <c r="C1" s="833"/>
      <c r="D1" s="834"/>
      <c r="E1" s="235"/>
    </row>
    <row r="2" spans="1:11" ht="29.25" customHeight="1" x14ac:dyDescent="0.25">
      <c r="A2" s="835" t="s">
        <v>1261</v>
      </c>
      <c r="B2" s="836"/>
      <c r="C2" s="836"/>
      <c r="D2" s="837"/>
    </row>
    <row r="3" spans="1:11" ht="33" customHeight="1" x14ac:dyDescent="0.25">
      <c r="A3" s="238" t="s">
        <v>205</v>
      </c>
      <c r="B3" s="556" t="s">
        <v>332</v>
      </c>
      <c r="C3" s="240">
        <v>2017</v>
      </c>
      <c r="D3" s="240">
        <v>2018</v>
      </c>
      <c r="E3" s="537"/>
      <c r="F3" s="564"/>
    </row>
    <row r="4" spans="1:11" x14ac:dyDescent="0.25">
      <c r="A4" s="241"/>
      <c r="B4" s="242"/>
      <c r="C4" s="243" t="s">
        <v>286</v>
      </c>
      <c r="D4" s="538" t="s">
        <v>287</v>
      </c>
      <c r="E4" s="537"/>
      <c r="F4" s="564"/>
    </row>
    <row r="5" spans="1:11" ht="18.75" x14ac:dyDescent="0.25">
      <c r="A5" s="244">
        <v>1</v>
      </c>
      <c r="B5" s="245" t="s">
        <v>279</v>
      </c>
      <c r="C5" s="522">
        <f>+C6+C9</f>
        <v>907984.23</v>
      </c>
      <c r="D5" s="522">
        <f>+D6+D9</f>
        <v>758007</v>
      </c>
      <c r="E5" s="539"/>
      <c r="F5" s="537"/>
    </row>
    <row r="6" spans="1:11" ht="18.75" customHeight="1" x14ac:dyDescent="0.25">
      <c r="A6" s="244">
        <f t="shared" ref="A6:A13" si="0">A5+1</f>
        <v>2</v>
      </c>
      <c r="B6" s="245" t="s">
        <v>361</v>
      </c>
      <c r="C6" s="522">
        <f>+C7+C8</f>
        <v>552637.23</v>
      </c>
      <c r="D6" s="522">
        <f>+D7+D8</f>
        <v>458395</v>
      </c>
      <c r="E6" s="539"/>
      <c r="F6" s="537"/>
    </row>
    <row r="7" spans="1:11" x14ac:dyDescent="0.25">
      <c r="A7" s="244">
        <f t="shared" si="0"/>
        <v>3</v>
      </c>
      <c r="B7" s="246" t="s">
        <v>359</v>
      </c>
      <c r="C7" s="521">
        <f>'[3]T10-ŠJ'!C7+'[3]T10-ŠJ MTF'!C7</f>
        <v>552379.23</v>
      </c>
      <c r="D7" s="521">
        <f>'[3]T10-ŠJ'!D7+'[3]T10-ŠJ MTF'!D7</f>
        <v>457882</v>
      </c>
      <c r="E7" s="540"/>
      <c r="F7" s="537"/>
    </row>
    <row r="8" spans="1:11" x14ac:dyDescent="0.25">
      <c r="A8" s="244">
        <f t="shared" si="0"/>
        <v>4</v>
      </c>
      <c r="B8" s="246" t="s">
        <v>360</v>
      </c>
      <c r="C8" s="521">
        <f>'[3]T10-ŠJ'!C8+'[3]T10-ŠJ MTF'!C8</f>
        <v>258</v>
      </c>
      <c r="D8" s="521">
        <f>'[3]T10-ŠJ'!D8+'[3]T10-ŠJ MTF'!D8</f>
        <v>513</v>
      </c>
      <c r="E8" s="540"/>
      <c r="F8" s="537"/>
    </row>
    <row r="9" spans="1:11" x14ac:dyDescent="0.25">
      <c r="A9" s="244">
        <f t="shared" si="0"/>
        <v>5</v>
      </c>
      <c r="B9" s="245" t="s">
        <v>250</v>
      </c>
      <c r="C9" s="542">
        <f>+C10+C11-C12</f>
        <v>355347</v>
      </c>
      <c r="D9" s="542">
        <f>+D10+D11-D12</f>
        <v>299612</v>
      </c>
      <c r="E9" s="540"/>
      <c r="F9" s="537"/>
    </row>
    <row r="10" spans="1:11" ht="19.5" customHeight="1" x14ac:dyDescent="0.25">
      <c r="A10" s="244">
        <f t="shared" si="0"/>
        <v>6</v>
      </c>
      <c r="B10" s="246" t="s">
        <v>190</v>
      </c>
      <c r="C10" s="521">
        <f>'[3]T10-ŠJ'!C10+'[3]T10-ŠJ MTF'!C10</f>
        <v>90476.52</v>
      </c>
      <c r="D10" s="682">
        <f>+C12</f>
        <v>85174.520000000019</v>
      </c>
      <c r="E10" s="540"/>
      <c r="F10" s="537"/>
    </row>
    <row r="11" spans="1:11" x14ac:dyDescent="0.25">
      <c r="A11" s="244">
        <f t="shared" si="0"/>
        <v>7</v>
      </c>
      <c r="B11" s="246" t="s">
        <v>222</v>
      </c>
      <c r="C11" s="521">
        <f>'[3]T10-ŠJ'!C11+'[3]T10-ŠJ MTF'!C11</f>
        <v>350045</v>
      </c>
      <c r="D11" s="541">
        <f>'[3]T10-ŠJ'!D11+'[3]T10-ŠJ MTF'!D11</f>
        <v>343295</v>
      </c>
      <c r="E11" s="540" t="s">
        <v>1265</v>
      </c>
      <c r="F11" s="537"/>
    </row>
    <row r="12" spans="1:11" x14ac:dyDescent="0.25">
      <c r="A12" s="244">
        <f t="shared" si="0"/>
        <v>8</v>
      </c>
      <c r="B12" s="246" t="s">
        <v>755</v>
      </c>
      <c r="C12" s="679">
        <f>C10+C11-C20</f>
        <v>85174.520000000019</v>
      </c>
      <c r="D12" s="679">
        <f>D10+D11-D20</f>
        <v>128857.52000000002</v>
      </c>
      <c r="E12" s="540"/>
      <c r="F12" s="537"/>
    </row>
    <row r="13" spans="1:11" ht="30" customHeight="1" x14ac:dyDescent="0.25">
      <c r="A13" s="244">
        <f t="shared" si="0"/>
        <v>9</v>
      </c>
      <c r="B13" s="245" t="s">
        <v>756</v>
      </c>
      <c r="C13" s="543">
        <f>'[3]T10-ŠJ'!C13+'[3]T10-ŠJ MTF'!C13</f>
        <v>910212.49</v>
      </c>
      <c r="D13" s="544">
        <f>'[3]T10-ŠJ'!D13+'[3]T10-ŠJ MTF'!D13</f>
        <v>771289.34000000008</v>
      </c>
      <c r="E13" s="539"/>
      <c r="F13" s="537"/>
    </row>
    <row r="14" spans="1:11" x14ac:dyDescent="0.25">
      <c r="A14" s="244"/>
      <c r="B14" s="264" t="s">
        <v>303</v>
      </c>
      <c r="C14" s="545"/>
      <c r="D14" s="546"/>
      <c r="E14" s="540"/>
      <c r="F14" s="537"/>
      <c r="G14" s="247"/>
      <c r="H14" s="247"/>
      <c r="I14" s="247"/>
      <c r="J14" s="247"/>
      <c r="K14" s="247"/>
    </row>
    <row r="15" spans="1:11" ht="18.75" x14ac:dyDescent="0.25">
      <c r="A15" s="244">
        <f>A13+1</f>
        <v>10</v>
      </c>
      <c r="B15" s="265" t="s">
        <v>362</v>
      </c>
      <c r="C15" s="521">
        <f>'[3]T10-ŠJ'!C15+'[3]T10-ŠJ MTF'!C15</f>
        <v>877751.49</v>
      </c>
      <c r="D15" s="541">
        <f>'[3]T10-ŠJ'!D15+'[3]T10-ŠJ MTF'!D15</f>
        <v>729093.34000000008</v>
      </c>
      <c r="E15" s="540"/>
      <c r="F15" s="537"/>
    </row>
    <row r="16" spans="1:11" ht="30.75" customHeight="1" x14ac:dyDescent="0.25">
      <c r="A16" s="244">
        <f t="shared" ref="A16:A21" si="1">+A15+1</f>
        <v>11</v>
      </c>
      <c r="B16" s="245" t="s">
        <v>757</v>
      </c>
      <c r="C16" s="680">
        <f>C5-C13</f>
        <v>-2228.2600000000093</v>
      </c>
      <c r="D16" s="680">
        <f>D5-D13</f>
        <v>-13282.340000000084</v>
      </c>
      <c r="E16" s="539"/>
      <c r="F16" s="537"/>
    </row>
    <row r="17" spans="1:6" ht="18.75" x14ac:dyDescent="0.25">
      <c r="A17" s="244">
        <f t="shared" si="1"/>
        <v>12</v>
      </c>
      <c r="B17" s="245" t="s">
        <v>758</v>
      </c>
      <c r="C17" s="680">
        <f>C18+C19</f>
        <v>355347</v>
      </c>
      <c r="D17" s="680">
        <f>D18+D19</f>
        <v>299612</v>
      </c>
      <c r="E17" s="539"/>
      <c r="F17" s="537"/>
    </row>
    <row r="18" spans="1:6" x14ac:dyDescent="0.25">
      <c r="A18" s="277">
        <f t="shared" si="1"/>
        <v>13</v>
      </c>
      <c r="B18" s="248" t="s">
        <v>880</v>
      </c>
      <c r="C18" s="543">
        <f>'[3]T10-ŠJ'!C18+'[3]T10-ŠJ MTF'!C18</f>
        <v>322886</v>
      </c>
      <c r="D18" s="547">
        <f>'[3]T10-ŠJ'!D18+'[3]T10-ŠJ MTF'!D18</f>
        <v>257416</v>
      </c>
      <c r="E18" s="548"/>
      <c r="F18" s="537"/>
    </row>
    <row r="19" spans="1:6" ht="18.75" x14ac:dyDescent="0.25">
      <c r="A19" s="277">
        <f>+A18+1</f>
        <v>14</v>
      </c>
      <c r="B19" s="248" t="s">
        <v>759</v>
      </c>
      <c r="C19" s="543">
        <f>'[3]T10-ŠJ'!C19+'[3]T10-ŠJ MTF'!C19</f>
        <v>32461</v>
      </c>
      <c r="D19" s="547">
        <f>'[3]T10-ŠJ'!D19+'[3]T10-ŠJ MTF'!D19</f>
        <v>42196</v>
      </c>
      <c r="E19" s="548"/>
      <c r="F19" s="537"/>
    </row>
    <row r="20" spans="1:6" x14ac:dyDescent="0.25">
      <c r="A20" s="277">
        <f>+A19+1</f>
        <v>15</v>
      </c>
      <c r="B20" s="245" t="s">
        <v>771</v>
      </c>
      <c r="C20" s="680">
        <f>(C18*1+C19*1)</f>
        <v>355347</v>
      </c>
      <c r="D20" s="680">
        <f>(D18*1+D19*1)</f>
        <v>299612</v>
      </c>
      <c r="E20" s="539"/>
      <c r="F20" s="537"/>
    </row>
    <row r="21" spans="1:6" ht="16.5" thickBot="1" x14ac:dyDescent="0.3">
      <c r="A21" s="278">
        <f t="shared" si="1"/>
        <v>16</v>
      </c>
      <c r="B21" s="249" t="s">
        <v>783</v>
      </c>
      <c r="C21" s="681">
        <f>IF(C18=0,0,C15/C18)</f>
        <v>2.7184563282396881</v>
      </c>
      <c r="D21" s="681">
        <f>IF(D18=0,0,D15/D18)</f>
        <v>2.8323543991049509</v>
      </c>
      <c r="E21" s="539"/>
      <c r="F21" s="537"/>
    </row>
    <row r="22" spans="1:6" s="247" customFormat="1" x14ac:dyDescent="0.25">
      <c r="A22" s="250"/>
      <c r="B22" s="251"/>
      <c r="C22" s="252"/>
      <c r="D22" s="252"/>
      <c r="E22" s="537"/>
      <c r="F22" s="564"/>
    </row>
    <row r="23" spans="1:6" s="254" customFormat="1" x14ac:dyDescent="0.25">
      <c r="A23" s="838" t="s">
        <v>358</v>
      </c>
      <c r="B23" s="839"/>
      <c r="C23" s="839"/>
      <c r="D23" s="840"/>
      <c r="E23" s="549"/>
      <c r="F23" s="565"/>
    </row>
    <row r="24" spans="1:6" s="254" customFormat="1" x14ac:dyDescent="0.25">
      <c r="A24" s="841" t="s">
        <v>693</v>
      </c>
      <c r="B24" s="842"/>
      <c r="C24" s="842"/>
      <c r="D24" s="843"/>
      <c r="E24" s="253"/>
    </row>
    <row r="25" spans="1:6" s="254" customFormat="1" x14ac:dyDescent="0.25">
      <c r="A25" s="844" t="s">
        <v>879</v>
      </c>
      <c r="B25" s="845"/>
      <c r="C25" s="845"/>
      <c r="D25" s="846"/>
      <c r="E25" s="253"/>
    </row>
    <row r="26" spans="1:6" s="254" customFormat="1" x14ac:dyDescent="0.25">
      <c r="A26" s="829" t="s">
        <v>699</v>
      </c>
      <c r="B26" s="830"/>
      <c r="C26" s="830"/>
      <c r="D26" s="831"/>
      <c r="E26" s="253"/>
    </row>
    <row r="27" spans="1:6" s="254" customFormat="1" x14ac:dyDescent="0.25">
      <c r="A27" s="1"/>
      <c r="B27" s="6"/>
      <c r="C27" s="1"/>
      <c r="D27" s="1"/>
      <c r="E27" s="550"/>
      <c r="F27" s="236"/>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3"/>
  <sheetViews>
    <sheetView zoomScaleNormal="100" workbookViewId="0">
      <pane xSplit="2" ySplit="5" topLeftCell="E18" activePane="bottomRight" state="frozen"/>
      <selection pane="topRight" activeCell="C1" sqref="C1"/>
      <selection pane="bottomLeft" activeCell="A6" sqref="A6"/>
      <selection pane="bottomRight" activeCell="U39" sqref="U39"/>
    </sheetView>
  </sheetViews>
  <sheetFormatPr defaultColWidth="9.140625" defaultRowHeight="15.75" x14ac:dyDescent="0.25"/>
  <cols>
    <col min="1" max="1" width="9.140625" style="2"/>
    <col min="2" max="2" width="88.7109375" style="8" customWidth="1"/>
    <col min="3" max="3" width="23.42578125" style="2" customWidth="1"/>
    <col min="4" max="4" width="24.42578125" style="2" customWidth="1"/>
    <col min="5" max="5" width="15.28515625" style="202" bestFit="1" customWidth="1"/>
    <col min="6" max="6" width="9.140625" style="202"/>
    <col min="7" max="16384" width="9.140625" style="2"/>
  </cols>
  <sheetData>
    <row r="1" spans="1:6" ht="50.1" customHeight="1" thickBot="1" x14ac:dyDescent="0.3">
      <c r="A1" s="847" t="s">
        <v>1157</v>
      </c>
      <c r="B1" s="848"/>
      <c r="C1" s="848"/>
      <c r="D1" s="849"/>
    </row>
    <row r="2" spans="1:6" ht="27.75" customHeight="1" x14ac:dyDescent="0.25">
      <c r="A2" s="725" t="s">
        <v>1201</v>
      </c>
      <c r="B2" s="726"/>
      <c r="C2" s="726"/>
      <c r="D2" s="727"/>
    </row>
    <row r="3" spans="1:6" ht="18.75" customHeight="1" x14ac:dyDescent="0.25">
      <c r="A3" s="743" t="s">
        <v>205</v>
      </c>
      <c r="B3" s="850" t="s">
        <v>332</v>
      </c>
      <c r="C3" s="851" t="s">
        <v>307</v>
      </c>
      <c r="D3" s="852"/>
    </row>
    <row r="4" spans="1:6" s="5" customFormat="1" ht="19.5" customHeight="1" x14ac:dyDescent="0.2">
      <c r="A4" s="743"/>
      <c r="B4" s="850"/>
      <c r="C4" s="557">
        <v>2017</v>
      </c>
      <c r="D4" s="558">
        <v>2018</v>
      </c>
      <c r="E4" s="203"/>
      <c r="F4" s="203"/>
    </row>
    <row r="5" spans="1:6" s="5" customFormat="1" x14ac:dyDescent="0.2">
      <c r="A5" s="29"/>
      <c r="B5" s="26"/>
      <c r="C5" s="557" t="s">
        <v>286</v>
      </c>
      <c r="D5" s="558" t="s">
        <v>287</v>
      </c>
      <c r="E5" s="203"/>
      <c r="F5" s="203"/>
    </row>
    <row r="6" spans="1:6" s="5" customFormat="1" x14ac:dyDescent="0.2">
      <c r="A6" s="101">
        <v>1</v>
      </c>
      <c r="B6" s="59" t="s">
        <v>214</v>
      </c>
      <c r="C6" s="590">
        <v>15969485.58</v>
      </c>
      <c r="D6" s="590">
        <v>19101855.609999999</v>
      </c>
      <c r="E6" s="203"/>
      <c r="F6" s="203"/>
    </row>
    <row r="7" spans="1:6" s="5" customFormat="1" x14ac:dyDescent="0.2">
      <c r="A7" s="101">
        <f t="shared" ref="A7:A20" si="0">A6+1</f>
        <v>2</v>
      </c>
      <c r="B7" s="328" t="s">
        <v>163</v>
      </c>
      <c r="C7" s="591">
        <f>SUM(C8:C13)</f>
        <v>2099744.8600000003</v>
      </c>
      <c r="D7" s="591">
        <f>SUM(D8:D13)</f>
        <v>2473105.63</v>
      </c>
      <c r="E7" s="203"/>
      <c r="F7" s="203"/>
    </row>
    <row r="8" spans="1:6" s="5" customFormat="1" ht="18.75" x14ac:dyDescent="0.2">
      <c r="A8" s="101">
        <f t="shared" si="0"/>
        <v>3</v>
      </c>
      <c r="B8" s="60" t="s">
        <v>384</v>
      </c>
      <c r="C8" s="592">
        <v>0</v>
      </c>
      <c r="D8" s="592">
        <v>0</v>
      </c>
      <c r="E8" s="203"/>
      <c r="F8" s="203"/>
    </row>
    <row r="9" spans="1:6" s="5" customFormat="1" x14ac:dyDescent="0.2">
      <c r="A9" s="101">
        <f t="shared" si="0"/>
        <v>4</v>
      </c>
      <c r="B9" s="60" t="s">
        <v>387</v>
      </c>
      <c r="C9" s="592">
        <v>2059059.86</v>
      </c>
      <c r="D9" s="592">
        <v>2421446.7799999998</v>
      </c>
      <c r="E9" s="203"/>
      <c r="F9" s="203"/>
    </row>
    <row r="10" spans="1:6" s="5" customFormat="1" x14ac:dyDescent="0.2">
      <c r="A10" s="101">
        <f t="shared" si="0"/>
        <v>5</v>
      </c>
      <c r="B10" s="60" t="s">
        <v>922</v>
      </c>
      <c r="C10" s="592">
        <v>40685</v>
      </c>
      <c r="D10" s="592">
        <v>46891.79</v>
      </c>
      <c r="E10" s="203"/>
      <c r="F10" s="203"/>
    </row>
    <row r="11" spans="1:6" s="5" customFormat="1" x14ac:dyDescent="0.2">
      <c r="A11" s="101">
        <f t="shared" si="0"/>
        <v>6</v>
      </c>
      <c r="B11" s="60" t="s">
        <v>385</v>
      </c>
      <c r="C11" s="592">
        <v>0</v>
      </c>
      <c r="D11" s="592">
        <v>0</v>
      </c>
      <c r="E11" s="203"/>
      <c r="F11" s="203"/>
    </row>
    <row r="12" spans="1:6" s="5" customFormat="1" x14ac:dyDescent="0.2">
      <c r="A12" s="101">
        <f t="shared" si="0"/>
        <v>7</v>
      </c>
      <c r="B12" s="60" t="s">
        <v>386</v>
      </c>
      <c r="C12" s="592">
        <v>0</v>
      </c>
      <c r="D12" s="592">
        <v>4767.0600000000004</v>
      </c>
      <c r="E12" s="203"/>
      <c r="F12" s="203"/>
    </row>
    <row r="13" spans="1:6" s="5" customFormat="1" ht="19.5" customHeight="1" x14ac:dyDescent="0.2">
      <c r="A13" s="101">
        <f t="shared" si="0"/>
        <v>8</v>
      </c>
      <c r="B13" s="60" t="s">
        <v>388</v>
      </c>
      <c r="C13" s="592">
        <v>0</v>
      </c>
      <c r="D13" s="592">
        <v>0</v>
      </c>
      <c r="E13" s="203"/>
      <c r="F13" s="203"/>
    </row>
    <row r="14" spans="1:6" s="5" customFormat="1" ht="21.75" customHeight="1" x14ac:dyDescent="0.2">
      <c r="A14" s="101">
        <f t="shared" si="0"/>
        <v>9</v>
      </c>
      <c r="B14" s="328" t="s">
        <v>58</v>
      </c>
      <c r="C14" s="591">
        <f>C6+C7</f>
        <v>18069230.440000001</v>
      </c>
      <c r="D14" s="591">
        <f>D6+D7</f>
        <v>21574961.239999998</v>
      </c>
      <c r="E14" s="203"/>
      <c r="F14" s="203"/>
    </row>
    <row r="15" spans="1:6" s="5" customFormat="1" ht="40.5" customHeight="1" x14ac:dyDescent="0.2">
      <c r="A15" s="101">
        <f t="shared" si="0"/>
        <v>10</v>
      </c>
      <c r="B15" s="328" t="s">
        <v>263</v>
      </c>
      <c r="C15" s="590">
        <v>74255</v>
      </c>
      <c r="D15" s="590">
        <v>3163793</v>
      </c>
      <c r="E15" s="203"/>
      <c r="F15" s="203"/>
    </row>
    <row r="16" spans="1:6" s="5" customFormat="1" ht="31.5" x14ac:dyDescent="0.2">
      <c r="A16" s="126" t="s">
        <v>714</v>
      </c>
      <c r="B16" s="64" t="s">
        <v>790</v>
      </c>
      <c r="C16" s="590">
        <v>2977994.78</v>
      </c>
      <c r="D16" s="590">
        <f>'[5]T12-KV'!E23</f>
        <v>82215.45</v>
      </c>
      <c r="E16" s="203"/>
      <c r="F16" s="203"/>
    </row>
    <row r="17" spans="1:9" s="5" customFormat="1" ht="28.5" customHeight="1" x14ac:dyDescent="0.2">
      <c r="A17" s="101">
        <f>A15+1</f>
        <v>11</v>
      </c>
      <c r="B17" s="328" t="s">
        <v>791</v>
      </c>
      <c r="C17" s="590">
        <v>518402.4</v>
      </c>
      <c r="D17" s="590">
        <v>2008148.7</v>
      </c>
      <c r="E17" s="203"/>
      <c r="F17" s="203"/>
    </row>
    <row r="18" spans="1:9" s="5" customFormat="1" ht="23.25" customHeight="1" x14ac:dyDescent="0.2">
      <c r="A18" s="101">
        <f t="shared" si="0"/>
        <v>12</v>
      </c>
      <c r="B18" s="328" t="s">
        <v>262</v>
      </c>
      <c r="C18" s="590">
        <v>0</v>
      </c>
      <c r="D18" s="590">
        <v>0</v>
      </c>
      <c r="E18" s="203"/>
      <c r="F18" s="203"/>
    </row>
    <row r="19" spans="1:9" s="5" customFormat="1" ht="33" customHeight="1" x14ac:dyDescent="0.2">
      <c r="A19" s="101">
        <f t="shared" si="0"/>
        <v>13</v>
      </c>
      <c r="B19" s="328" t="s">
        <v>792</v>
      </c>
      <c r="C19" s="590">
        <v>501000</v>
      </c>
      <c r="D19" s="590">
        <v>16780</v>
      </c>
      <c r="E19" s="652"/>
      <c r="F19" s="650"/>
    </row>
    <row r="20" spans="1:9" s="5" customFormat="1" ht="21" customHeight="1" thickBot="1" x14ac:dyDescent="0.25">
      <c r="A20" s="102">
        <f t="shared" si="0"/>
        <v>14</v>
      </c>
      <c r="B20" s="46" t="s">
        <v>89</v>
      </c>
      <c r="C20" s="563">
        <f>SUM(C14:C19)</f>
        <v>22140882.620000001</v>
      </c>
      <c r="D20" s="593">
        <f>SUM(D14:D19)</f>
        <v>26845898.389999997</v>
      </c>
      <c r="E20" s="203"/>
      <c r="F20" s="203"/>
    </row>
    <row r="21" spans="1:9" ht="9" customHeight="1" x14ac:dyDescent="0.25"/>
    <row r="22" spans="1:9" ht="18" customHeight="1" x14ac:dyDescent="0.25">
      <c r="A22" s="800" t="s">
        <v>93</v>
      </c>
      <c r="B22" s="801"/>
      <c r="C22" s="801"/>
      <c r="D22" s="802"/>
      <c r="F22" s="519"/>
    </row>
    <row r="23" spans="1:9" ht="15.75" customHeight="1" x14ac:dyDescent="0.25">
      <c r="A23" s="820" t="s">
        <v>18</v>
      </c>
      <c r="B23" s="821"/>
      <c r="C23" s="821"/>
      <c r="D23" s="822"/>
      <c r="E23" s="203"/>
      <c r="F23" s="203"/>
      <c r="G23" s="135"/>
      <c r="H23" s="135"/>
      <c r="I23" s="135"/>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3"/>
  <sheetViews>
    <sheetView zoomScaleNormal="100" workbookViewId="0">
      <pane xSplit="2" ySplit="5" topLeftCell="C15" activePane="bottomRight" state="frozen"/>
      <selection pane="topRight" activeCell="C1" sqref="C1"/>
      <selection pane="bottomLeft" activeCell="A6" sqref="A6"/>
      <selection pane="bottomRight" activeCell="G17" sqref="G17"/>
    </sheetView>
  </sheetViews>
  <sheetFormatPr defaultColWidth="9.140625" defaultRowHeight="15.75" x14ac:dyDescent="0.25"/>
  <cols>
    <col min="1" max="1" width="7.42578125" style="2" customWidth="1"/>
    <col min="2" max="2" width="51.5703125" style="8" customWidth="1"/>
    <col min="3" max="3" width="6.140625" style="8" bestFit="1" customWidth="1"/>
    <col min="4" max="4" width="18.140625" style="2" customWidth="1"/>
    <col min="5" max="5" width="18.5703125" style="2" customWidth="1"/>
    <col min="6" max="6" width="16.28515625" style="2" customWidth="1"/>
    <col min="7" max="7" width="15.28515625" style="2" customWidth="1"/>
    <col min="8" max="8" width="15.7109375" style="2" customWidth="1"/>
    <col min="9" max="9" width="20.140625" style="2" customWidth="1"/>
    <col min="10" max="10" width="23.28515625" style="2" customWidth="1"/>
    <col min="11" max="16384" width="9.140625" style="2"/>
  </cols>
  <sheetData>
    <row r="1" spans="1:10" ht="35.1" customHeight="1" thickBot="1" x14ac:dyDescent="0.3">
      <c r="A1" s="853" t="s">
        <v>1111</v>
      </c>
      <c r="B1" s="854"/>
      <c r="C1" s="854"/>
      <c r="D1" s="854"/>
      <c r="E1" s="854"/>
      <c r="F1" s="854"/>
      <c r="G1" s="854"/>
      <c r="H1" s="854"/>
      <c r="I1" s="854"/>
      <c r="J1" s="855"/>
    </row>
    <row r="2" spans="1:10" ht="35.1" customHeight="1" x14ac:dyDescent="0.25">
      <c r="A2" s="752" t="s">
        <v>1201</v>
      </c>
      <c r="B2" s="753"/>
      <c r="C2" s="753"/>
      <c r="D2" s="753"/>
      <c r="E2" s="753"/>
      <c r="F2" s="753"/>
      <c r="G2" s="753"/>
      <c r="H2" s="753"/>
      <c r="I2" s="753"/>
      <c r="J2" s="754"/>
    </row>
    <row r="3" spans="1:10" s="5" customFormat="1" ht="35.25" customHeight="1" x14ac:dyDescent="0.2">
      <c r="A3" s="816" t="s">
        <v>205</v>
      </c>
      <c r="B3" s="745" t="s">
        <v>332</v>
      </c>
      <c r="C3" s="552"/>
      <c r="D3" s="786" t="s">
        <v>1112</v>
      </c>
      <c r="E3" s="786" t="s">
        <v>1113</v>
      </c>
      <c r="F3" s="745" t="s">
        <v>1114</v>
      </c>
      <c r="G3" s="745" t="s">
        <v>177</v>
      </c>
      <c r="H3" s="858" t="s">
        <v>229</v>
      </c>
      <c r="I3" s="858" t="s">
        <v>729</v>
      </c>
      <c r="J3" s="856" t="s">
        <v>230</v>
      </c>
    </row>
    <row r="4" spans="1:10" s="5" customFormat="1" ht="72" customHeight="1" x14ac:dyDescent="0.2">
      <c r="A4" s="743"/>
      <c r="B4" s="781"/>
      <c r="C4" s="554"/>
      <c r="D4" s="787"/>
      <c r="E4" s="787"/>
      <c r="F4" s="781"/>
      <c r="G4" s="781"/>
      <c r="H4" s="859"/>
      <c r="I4" s="859"/>
      <c r="J4" s="857"/>
    </row>
    <row r="5" spans="1:10" s="5" customFormat="1" x14ac:dyDescent="0.2">
      <c r="A5" s="29"/>
      <c r="B5" s="87"/>
      <c r="C5" s="87"/>
      <c r="D5" s="90" t="s">
        <v>286</v>
      </c>
      <c r="E5" s="90" t="s">
        <v>287</v>
      </c>
      <c r="F5" s="35" t="s">
        <v>288</v>
      </c>
      <c r="G5" s="35" t="s">
        <v>295</v>
      </c>
      <c r="H5" s="35" t="s">
        <v>289</v>
      </c>
      <c r="I5" s="35" t="s">
        <v>290</v>
      </c>
      <c r="J5" s="212" t="s">
        <v>715</v>
      </c>
    </row>
    <row r="6" spans="1:10" s="5" customFormat="1" x14ac:dyDescent="0.2">
      <c r="A6" s="29">
        <v>1</v>
      </c>
      <c r="B6" s="68" t="s">
        <v>380</v>
      </c>
      <c r="C6" s="68"/>
      <c r="D6" s="498">
        <v>7800</v>
      </c>
      <c r="E6" s="498">
        <v>0</v>
      </c>
      <c r="F6" s="498">
        <v>7644.12</v>
      </c>
      <c r="G6" s="498">
        <v>9180</v>
      </c>
      <c r="H6" s="498">
        <v>0</v>
      </c>
      <c r="I6" s="498">
        <v>0</v>
      </c>
      <c r="J6" s="559">
        <f t="shared" ref="J6:J17" si="0">SUM(D6:I6)</f>
        <v>24624.12</v>
      </c>
    </row>
    <row r="7" spans="1:10" s="5" customFormat="1" x14ac:dyDescent="0.2">
      <c r="A7" s="29"/>
      <c r="B7" s="69" t="s">
        <v>303</v>
      </c>
      <c r="C7" s="69"/>
      <c r="D7" s="498"/>
      <c r="E7" s="498"/>
      <c r="F7" s="498"/>
      <c r="G7" s="498"/>
      <c r="H7" s="498"/>
      <c r="I7" s="498"/>
      <c r="J7" s="559"/>
    </row>
    <row r="8" spans="1:10" s="5" customFormat="1" x14ac:dyDescent="0.2">
      <c r="A8" s="29">
        <v>2</v>
      </c>
      <c r="B8" s="107" t="s">
        <v>59</v>
      </c>
      <c r="C8" s="107"/>
      <c r="D8" s="498">
        <v>7800</v>
      </c>
      <c r="E8" s="498">
        <v>0</v>
      </c>
      <c r="F8" s="498">
        <v>7644.12</v>
      </c>
      <c r="G8" s="498">
        <v>9180</v>
      </c>
      <c r="H8" s="498">
        <v>0</v>
      </c>
      <c r="I8" s="498">
        <v>0</v>
      </c>
      <c r="J8" s="559">
        <f t="shared" si="0"/>
        <v>24624.12</v>
      </c>
    </row>
    <row r="9" spans="1:10" x14ac:dyDescent="0.25">
      <c r="A9" s="29">
        <v>3</v>
      </c>
      <c r="B9" s="68" t="s">
        <v>285</v>
      </c>
      <c r="C9" s="68"/>
      <c r="D9" s="498">
        <v>0</v>
      </c>
      <c r="E9" s="498"/>
      <c r="F9" s="498">
        <v>101198.71</v>
      </c>
      <c r="G9" s="498">
        <v>1860</v>
      </c>
      <c r="H9" s="498">
        <v>0</v>
      </c>
      <c r="I9" s="498">
        <v>0</v>
      </c>
      <c r="J9" s="559">
        <f t="shared" si="0"/>
        <v>103058.71</v>
      </c>
    </row>
    <row r="10" spans="1:10" ht="31.5" x14ac:dyDescent="0.25">
      <c r="A10" s="29">
        <v>4</v>
      </c>
      <c r="B10" s="68" t="s">
        <v>247</v>
      </c>
      <c r="C10" s="68"/>
      <c r="D10" s="516">
        <f t="shared" ref="D10:E10" si="1">SUM(D11:D16)</f>
        <v>3409.2</v>
      </c>
      <c r="E10" s="516">
        <f t="shared" si="1"/>
        <v>82215.45</v>
      </c>
      <c r="F10" s="516">
        <f>SUM(F11:F16)</f>
        <v>348888.9</v>
      </c>
      <c r="G10" s="516">
        <f t="shared" ref="G10:I10" si="2">SUM(G11:G16)</f>
        <v>335895.58</v>
      </c>
      <c r="H10" s="516">
        <f t="shared" si="2"/>
        <v>0</v>
      </c>
      <c r="I10" s="516">
        <f t="shared" si="2"/>
        <v>0</v>
      </c>
      <c r="J10" s="559">
        <f t="shared" si="0"/>
        <v>770409.13000000012</v>
      </c>
    </row>
    <row r="11" spans="1:10" x14ac:dyDescent="0.25">
      <c r="A11" s="29">
        <v>5</v>
      </c>
      <c r="B11" s="107" t="s">
        <v>350</v>
      </c>
      <c r="C11" s="107"/>
      <c r="D11" s="498">
        <v>0</v>
      </c>
      <c r="E11" s="498">
        <v>0</v>
      </c>
      <c r="F11" s="498">
        <v>82371.55</v>
      </c>
      <c r="G11" s="498">
        <v>0</v>
      </c>
      <c r="H11" s="498">
        <v>0</v>
      </c>
      <c r="I11" s="498">
        <v>0</v>
      </c>
      <c r="J11" s="559">
        <f t="shared" si="0"/>
        <v>82371.55</v>
      </c>
    </row>
    <row r="12" spans="1:10" ht="31.5" x14ac:dyDescent="0.25">
      <c r="A12" s="29">
        <v>6</v>
      </c>
      <c r="B12" s="107" t="s">
        <v>942</v>
      </c>
      <c r="C12" s="107"/>
      <c r="D12" s="498">
        <v>0</v>
      </c>
      <c r="E12" s="498">
        <v>0</v>
      </c>
      <c r="F12" s="498">
        <v>2988</v>
      </c>
      <c r="G12" s="498">
        <v>660</v>
      </c>
      <c r="H12" s="498">
        <v>0</v>
      </c>
      <c r="I12" s="498">
        <v>0</v>
      </c>
      <c r="J12" s="559">
        <f t="shared" si="0"/>
        <v>3648</v>
      </c>
    </row>
    <row r="13" spans="1:10" x14ac:dyDescent="0.25">
      <c r="A13" s="29">
        <v>7</v>
      </c>
      <c r="B13" s="123" t="s">
        <v>351</v>
      </c>
      <c r="C13" s="123"/>
      <c r="D13" s="498">
        <v>0</v>
      </c>
      <c r="E13" s="498">
        <v>64288.36</v>
      </c>
      <c r="F13" s="498">
        <v>110612.37</v>
      </c>
      <c r="G13" s="498">
        <v>136570.5</v>
      </c>
      <c r="H13" s="498">
        <v>0</v>
      </c>
      <c r="I13" s="498">
        <v>0</v>
      </c>
      <c r="J13" s="559">
        <f t="shared" si="0"/>
        <v>311471.23</v>
      </c>
    </row>
    <row r="14" spans="1:10" ht="31.5" x14ac:dyDescent="0.25">
      <c r="A14" s="29">
        <v>8</v>
      </c>
      <c r="B14" s="107" t="s">
        <v>352</v>
      </c>
      <c r="C14" s="107"/>
      <c r="D14" s="498">
        <v>3409.2</v>
      </c>
      <c r="E14" s="498">
        <v>17927.09</v>
      </c>
      <c r="F14" s="498">
        <v>131158.32999999999</v>
      </c>
      <c r="G14" s="498">
        <v>182980.45</v>
      </c>
      <c r="H14" s="498">
        <v>0</v>
      </c>
      <c r="I14" s="498">
        <v>0</v>
      </c>
      <c r="J14" s="559">
        <f t="shared" si="0"/>
        <v>335475.07</v>
      </c>
    </row>
    <row r="15" spans="1:10" ht="31.5" x14ac:dyDescent="0.25">
      <c r="A15" s="41">
        <v>9</v>
      </c>
      <c r="B15" s="107" t="s">
        <v>353</v>
      </c>
      <c r="C15" s="107"/>
      <c r="D15" s="498">
        <v>0</v>
      </c>
      <c r="E15" s="498">
        <v>0</v>
      </c>
      <c r="F15" s="498">
        <v>8798.65</v>
      </c>
      <c r="G15" s="498">
        <v>15684.63</v>
      </c>
      <c r="H15" s="498">
        <v>0</v>
      </c>
      <c r="I15" s="498">
        <v>0</v>
      </c>
      <c r="J15" s="559">
        <f t="shared" si="0"/>
        <v>24483.279999999999</v>
      </c>
    </row>
    <row r="16" spans="1:10" x14ac:dyDescent="0.25">
      <c r="A16" s="41">
        <v>10</v>
      </c>
      <c r="B16" s="449" t="s">
        <v>1202</v>
      </c>
      <c r="C16" s="107"/>
      <c r="D16" s="498">
        <v>0</v>
      </c>
      <c r="E16" s="498">
        <v>0</v>
      </c>
      <c r="F16" s="498">
        <v>12960</v>
      </c>
      <c r="G16" s="498">
        <v>0</v>
      </c>
      <c r="H16" s="498">
        <v>0</v>
      </c>
      <c r="I16" s="498">
        <v>0</v>
      </c>
      <c r="J16" s="559">
        <f t="shared" si="0"/>
        <v>12960</v>
      </c>
    </row>
    <row r="17" spans="1:10" x14ac:dyDescent="0.25">
      <c r="A17" s="29">
        <v>11</v>
      </c>
      <c r="B17" s="63" t="s">
        <v>180</v>
      </c>
      <c r="C17" s="63" t="s">
        <v>1203</v>
      </c>
      <c r="D17" s="498">
        <v>0</v>
      </c>
      <c r="E17" s="498">
        <v>0</v>
      </c>
      <c r="F17" s="498">
        <v>0</v>
      </c>
      <c r="G17" s="498">
        <v>24257</v>
      </c>
      <c r="H17" s="498">
        <v>0</v>
      </c>
      <c r="I17" s="498">
        <v>0</v>
      </c>
      <c r="J17" s="559">
        <f t="shared" si="0"/>
        <v>24257</v>
      </c>
    </row>
    <row r="18" spans="1:10" x14ac:dyDescent="0.25">
      <c r="A18" s="29">
        <v>12</v>
      </c>
      <c r="B18" s="68" t="s">
        <v>181</v>
      </c>
      <c r="C18" s="68">
        <v>716</v>
      </c>
      <c r="D18" s="498">
        <v>17174</v>
      </c>
      <c r="E18" s="498">
        <v>0</v>
      </c>
      <c r="F18" s="498">
        <v>75301.2</v>
      </c>
      <c r="G18" s="498">
        <v>89546</v>
      </c>
      <c r="H18" s="498">
        <v>0</v>
      </c>
      <c r="I18" s="498">
        <v>0</v>
      </c>
      <c r="J18" s="559">
        <f>SUM(D18:I18)</f>
        <v>182021.2</v>
      </c>
    </row>
    <row r="19" spans="1:10" x14ac:dyDescent="0.25">
      <c r="A19" s="29">
        <v>13</v>
      </c>
      <c r="B19" s="68" t="s">
        <v>300</v>
      </c>
      <c r="C19" s="68">
        <v>717</v>
      </c>
      <c r="D19" s="498">
        <v>1116726.45</v>
      </c>
      <c r="E19" s="498">
        <v>0</v>
      </c>
      <c r="F19" s="498">
        <v>707891.46</v>
      </c>
      <c r="G19" s="498">
        <v>250061.04</v>
      </c>
      <c r="H19" s="498">
        <v>0</v>
      </c>
      <c r="I19" s="498">
        <v>0</v>
      </c>
      <c r="J19" s="559">
        <f>SUM(D19:I19)</f>
        <v>2074678.95</v>
      </c>
    </row>
    <row r="20" spans="1:10" x14ac:dyDescent="0.25">
      <c r="A20" s="29">
        <v>14</v>
      </c>
      <c r="B20" s="68" t="s">
        <v>182</v>
      </c>
      <c r="C20" s="68">
        <v>718</v>
      </c>
      <c r="D20" s="498">
        <v>0</v>
      </c>
      <c r="E20" s="498">
        <v>0</v>
      </c>
      <c r="F20" s="498">
        <v>21570.67</v>
      </c>
      <c r="G20" s="498">
        <v>11920</v>
      </c>
      <c r="H20" s="498">
        <v>0</v>
      </c>
      <c r="I20" s="498">
        <v>0</v>
      </c>
      <c r="J20" s="559">
        <f>SUM(D20:I20)</f>
        <v>33490.67</v>
      </c>
    </row>
    <row r="21" spans="1:10" x14ac:dyDescent="0.25">
      <c r="A21" s="29">
        <v>15</v>
      </c>
      <c r="B21" s="68" t="s">
        <v>308</v>
      </c>
      <c r="C21" s="68">
        <v>719</v>
      </c>
      <c r="D21" s="498">
        <v>158.31</v>
      </c>
      <c r="E21" s="498">
        <v>0</v>
      </c>
      <c r="F21" s="498">
        <v>0</v>
      </c>
      <c r="G21" s="498">
        <v>6000</v>
      </c>
      <c r="H21" s="498">
        <v>0</v>
      </c>
      <c r="I21" s="498">
        <v>0</v>
      </c>
      <c r="J21" s="559">
        <f>SUM(D21:I21)</f>
        <v>6158.31</v>
      </c>
    </row>
    <row r="22" spans="1:10" x14ac:dyDescent="0.25">
      <c r="A22" s="29">
        <v>16</v>
      </c>
      <c r="B22" s="594" t="s">
        <v>1026</v>
      </c>
      <c r="C22" s="594"/>
      <c r="D22" s="498">
        <v>0</v>
      </c>
      <c r="E22" s="498">
        <v>0</v>
      </c>
      <c r="F22" s="498">
        <v>0</v>
      </c>
      <c r="G22" s="498">
        <v>0</v>
      </c>
      <c r="H22" s="498">
        <v>0</v>
      </c>
      <c r="I22" s="498">
        <v>0</v>
      </c>
      <c r="J22" s="559">
        <f>SUM(D22:I22)</f>
        <v>0</v>
      </c>
    </row>
    <row r="23" spans="1:10" ht="48" thickBot="1" x14ac:dyDescent="0.3">
      <c r="A23" s="595">
        <v>17</v>
      </c>
      <c r="B23" s="596" t="s">
        <v>1204</v>
      </c>
      <c r="C23" s="596"/>
      <c r="D23" s="597">
        <f>+D6+D9+D10+D17+D18+D19+D20+D21+D22</f>
        <v>1145267.96</v>
      </c>
      <c r="E23" s="597">
        <f t="shared" ref="E23:J23" si="3">+E6+E9+E10+E17+E18+E19+E20+E21+E22</f>
        <v>82215.45</v>
      </c>
      <c r="F23" s="597">
        <f t="shared" si="3"/>
        <v>1262495.06</v>
      </c>
      <c r="G23" s="597">
        <f t="shared" si="3"/>
        <v>728719.62</v>
      </c>
      <c r="H23" s="597">
        <f t="shared" si="3"/>
        <v>0</v>
      </c>
      <c r="I23" s="597">
        <f t="shared" si="3"/>
        <v>0</v>
      </c>
      <c r="J23" s="597">
        <f t="shared" si="3"/>
        <v>3218698.0900000003</v>
      </c>
    </row>
    <row r="24" spans="1:10" x14ac:dyDescent="0.25">
      <c r="A24" s="598"/>
      <c r="B24" s="599" t="s">
        <v>1205</v>
      </c>
      <c r="C24" s="599"/>
      <c r="D24" s="600" t="s">
        <v>317</v>
      </c>
      <c r="E24" s="600" t="s">
        <v>317</v>
      </c>
      <c r="F24" s="600" t="s">
        <v>317</v>
      </c>
      <c r="G24" s="600" t="s">
        <v>317</v>
      </c>
      <c r="H24" s="600" t="s">
        <v>317</v>
      </c>
      <c r="I24" s="600" t="s">
        <v>317</v>
      </c>
      <c r="J24" s="601">
        <v>0</v>
      </c>
    </row>
    <row r="25" spans="1:10" x14ac:dyDescent="0.25">
      <c r="D25" s="201"/>
      <c r="E25" s="200"/>
      <c r="F25" s="200"/>
      <c r="G25" s="200"/>
      <c r="H25" s="200"/>
      <c r="I25" s="200"/>
    </row>
    <row r="26" spans="1:10" x14ac:dyDescent="0.25">
      <c r="C26" s="200"/>
      <c r="D26" s="200"/>
      <c r="E26" s="200"/>
      <c r="F26" s="200"/>
      <c r="G26" s="200"/>
      <c r="H26" s="200"/>
    </row>
    <row r="27" spans="1:10" x14ac:dyDescent="0.25">
      <c r="C27" s="200"/>
      <c r="D27" s="200"/>
      <c r="E27" s="200"/>
      <c r="F27" s="200"/>
      <c r="G27" s="200"/>
      <c r="H27" s="200"/>
    </row>
    <row r="28" spans="1:10" x14ac:dyDescent="0.25">
      <c r="C28" s="200"/>
      <c r="D28" s="200"/>
      <c r="E28" s="200"/>
      <c r="F28" s="200"/>
      <c r="G28" s="200"/>
      <c r="H28" s="200"/>
    </row>
    <row r="29" spans="1:10" x14ac:dyDescent="0.25">
      <c r="C29" s="200"/>
      <c r="D29" s="200"/>
      <c r="E29" s="200"/>
      <c r="F29" s="200"/>
      <c r="G29" s="200"/>
      <c r="H29" s="200"/>
    </row>
    <row r="30" spans="1:10" x14ac:dyDescent="0.25">
      <c r="C30" s="200"/>
      <c r="D30" s="200"/>
      <c r="E30" s="200"/>
      <c r="F30" s="200"/>
      <c r="G30" s="200"/>
      <c r="H30" s="200"/>
    </row>
    <row r="31" spans="1:10" x14ac:dyDescent="0.25">
      <c r="C31" s="200"/>
      <c r="D31" s="200"/>
      <c r="E31" s="200"/>
      <c r="F31" s="200"/>
      <c r="G31" s="200"/>
      <c r="H31" s="200"/>
    </row>
    <row r="32" spans="1:10" x14ac:dyDescent="0.25">
      <c r="C32" s="200"/>
      <c r="D32" s="200"/>
      <c r="E32" s="200"/>
      <c r="F32" s="200"/>
      <c r="G32" s="200"/>
      <c r="H32" s="200"/>
    </row>
    <row r="33" spans="3:8" x14ac:dyDescent="0.25">
      <c r="C33" s="200"/>
      <c r="D33" s="200"/>
      <c r="E33" s="200"/>
      <c r="F33" s="200"/>
      <c r="G33" s="200"/>
      <c r="H33" s="200"/>
    </row>
    <row r="34" spans="3:8" x14ac:dyDescent="0.25">
      <c r="C34" s="200"/>
      <c r="D34" s="200"/>
      <c r="E34" s="200"/>
      <c r="F34" s="200"/>
      <c r="G34" s="200"/>
      <c r="H34" s="200"/>
    </row>
    <row r="35" spans="3:8" x14ac:dyDescent="0.25">
      <c r="C35" s="200"/>
      <c r="D35" s="200"/>
      <c r="E35" s="200"/>
      <c r="F35" s="200"/>
      <c r="G35" s="200"/>
      <c r="H35" s="200"/>
    </row>
    <row r="36" spans="3:8" x14ac:dyDescent="0.25">
      <c r="C36" s="200"/>
      <c r="D36" s="200"/>
      <c r="E36" s="200"/>
      <c r="F36" s="200"/>
      <c r="G36" s="200"/>
      <c r="H36" s="200"/>
    </row>
    <row r="37" spans="3:8" x14ac:dyDescent="0.25">
      <c r="C37" s="200"/>
      <c r="D37" s="200"/>
      <c r="E37" s="200"/>
      <c r="F37" s="200"/>
      <c r="G37" s="200"/>
      <c r="H37" s="200"/>
    </row>
    <row r="38" spans="3:8" x14ac:dyDescent="0.25">
      <c r="C38" s="200"/>
      <c r="D38" s="200"/>
      <c r="E38" s="200"/>
      <c r="F38" s="200"/>
      <c r="G38" s="200"/>
      <c r="H38" s="200"/>
    </row>
    <row r="39" spans="3:8" x14ac:dyDescent="0.25">
      <c r="C39" s="200"/>
      <c r="D39" s="200"/>
      <c r="E39" s="200"/>
      <c r="F39" s="200"/>
      <c r="G39" s="200"/>
      <c r="H39" s="200"/>
    </row>
    <row r="40" spans="3:8" x14ac:dyDescent="0.25">
      <c r="C40" s="200"/>
      <c r="D40" s="200"/>
      <c r="E40" s="200"/>
      <c r="F40" s="200"/>
      <c r="G40" s="200"/>
      <c r="H40" s="200"/>
    </row>
    <row r="41" spans="3:8" x14ac:dyDescent="0.25">
      <c r="C41" s="200"/>
      <c r="D41" s="200"/>
      <c r="E41" s="200"/>
      <c r="F41" s="200"/>
      <c r="G41" s="200"/>
      <c r="H41" s="200"/>
    </row>
    <row r="42" spans="3:8" x14ac:dyDescent="0.25">
      <c r="C42" s="200"/>
      <c r="D42" s="200"/>
      <c r="E42" s="200"/>
      <c r="F42" s="200"/>
      <c r="G42" s="200"/>
      <c r="H42" s="200"/>
    </row>
    <row r="43" spans="3:8" x14ac:dyDescent="0.25">
      <c r="C43" s="200"/>
      <c r="D43" s="200"/>
      <c r="E43" s="200"/>
      <c r="F43" s="200"/>
      <c r="G43" s="200"/>
      <c r="H43" s="200"/>
    </row>
    <row r="44" spans="3:8" x14ac:dyDescent="0.25">
      <c r="C44" s="200"/>
      <c r="D44" s="200"/>
      <c r="E44" s="200"/>
      <c r="F44" s="200"/>
      <c r="G44" s="200"/>
      <c r="H44" s="200"/>
    </row>
    <row r="45" spans="3:8" x14ac:dyDescent="0.25">
      <c r="C45" s="200"/>
      <c r="D45" s="200"/>
      <c r="E45" s="200"/>
      <c r="F45" s="200"/>
      <c r="G45" s="200"/>
      <c r="H45" s="200"/>
    </row>
    <row r="46" spans="3:8" x14ac:dyDescent="0.25">
      <c r="C46" s="200"/>
      <c r="D46" s="200"/>
      <c r="E46" s="200"/>
      <c r="F46" s="200"/>
      <c r="G46" s="200"/>
      <c r="H46" s="200"/>
    </row>
    <row r="47" spans="3:8" x14ac:dyDescent="0.25">
      <c r="C47" s="200"/>
      <c r="D47" s="200"/>
      <c r="E47" s="200"/>
      <c r="F47" s="200"/>
      <c r="G47" s="200"/>
      <c r="H47" s="200"/>
    </row>
    <row r="48" spans="3:8" x14ac:dyDescent="0.25">
      <c r="C48" s="200"/>
      <c r="D48" s="200"/>
      <c r="E48" s="200"/>
      <c r="F48" s="200"/>
      <c r="G48" s="200"/>
      <c r="H48" s="200"/>
    </row>
    <row r="49" spans="3:8" x14ac:dyDescent="0.25">
      <c r="C49" s="200"/>
      <c r="D49" s="200"/>
      <c r="E49" s="200"/>
      <c r="F49" s="200"/>
      <c r="G49" s="200"/>
      <c r="H49" s="200"/>
    </row>
    <row r="50" spans="3:8" x14ac:dyDescent="0.25">
      <c r="C50" s="200"/>
      <c r="D50" s="200"/>
      <c r="E50" s="200"/>
      <c r="F50" s="200"/>
      <c r="G50" s="200"/>
      <c r="H50" s="200"/>
    </row>
    <row r="51" spans="3:8" x14ac:dyDescent="0.25">
      <c r="C51" s="200"/>
      <c r="D51" s="200"/>
      <c r="E51" s="200"/>
      <c r="F51" s="200"/>
      <c r="G51" s="200"/>
      <c r="H51" s="200"/>
    </row>
    <row r="52" spans="3:8" x14ac:dyDescent="0.25">
      <c r="C52" s="200"/>
      <c r="D52" s="200"/>
      <c r="E52" s="200"/>
      <c r="F52" s="200"/>
      <c r="G52" s="200"/>
      <c r="H52" s="200"/>
    </row>
    <row r="53" spans="3:8" x14ac:dyDescent="0.25">
      <c r="C53" s="200"/>
      <c r="D53" s="200"/>
      <c r="E53" s="200"/>
      <c r="F53" s="200"/>
      <c r="G53" s="200"/>
      <c r="H53" s="200"/>
    </row>
    <row r="54" spans="3:8" x14ac:dyDescent="0.25">
      <c r="C54" s="200"/>
      <c r="D54" s="200"/>
      <c r="E54" s="200"/>
      <c r="F54" s="200"/>
      <c r="G54" s="200"/>
      <c r="H54" s="200"/>
    </row>
    <row r="55" spans="3:8" x14ac:dyDescent="0.25">
      <c r="C55" s="200"/>
      <c r="D55" s="200"/>
      <c r="E55" s="200"/>
      <c r="F55" s="200"/>
      <c r="G55" s="200"/>
      <c r="H55" s="200"/>
    </row>
    <row r="56" spans="3:8" x14ac:dyDescent="0.25">
      <c r="C56" s="200"/>
      <c r="D56" s="200"/>
      <c r="E56" s="200"/>
      <c r="F56" s="200"/>
      <c r="G56" s="200"/>
      <c r="H56" s="200"/>
    </row>
    <row r="57" spans="3:8" x14ac:dyDescent="0.25">
      <c r="C57" s="200"/>
      <c r="D57" s="200"/>
      <c r="E57" s="200"/>
      <c r="F57" s="200"/>
      <c r="G57" s="200"/>
      <c r="H57" s="200"/>
    </row>
    <row r="58" spans="3:8" x14ac:dyDescent="0.25">
      <c r="C58" s="200"/>
      <c r="D58" s="200"/>
      <c r="E58" s="200"/>
      <c r="F58" s="200"/>
      <c r="G58" s="200"/>
      <c r="H58" s="200"/>
    </row>
    <row r="59" spans="3:8" x14ac:dyDescent="0.25">
      <c r="C59" s="200"/>
      <c r="D59" s="200"/>
      <c r="E59" s="200"/>
      <c r="F59" s="200"/>
      <c r="G59" s="200"/>
      <c r="H59" s="200"/>
    </row>
    <row r="60" spans="3:8" x14ac:dyDescent="0.25">
      <c r="C60" s="200"/>
      <c r="D60" s="200"/>
      <c r="E60" s="200"/>
      <c r="F60" s="200"/>
      <c r="G60" s="200"/>
      <c r="H60" s="200"/>
    </row>
    <row r="61" spans="3:8" x14ac:dyDescent="0.25">
      <c r="C61" s="200"/>
      <c r="D61" s="200"/>
      <c r="E61" s="200"/>
      <c r="F61" s="200"/>
      <c r="G61" s="200"/>
      <c r="H61" s="200"/>
    </row>
    <row r="62" spans="3:8" x14ac:dyDescent="0.25">
      <c r="C62" s="200"/>
      <c r="D62" s="200"/>
      <c r="E62" s="200"/>
      <c r="F62" s="200"/>
      <c r="G62" s="200"/>
      <c r="H62" s="200"/>
    </row>
    <row r="63" spans="3:8" x14ac:dyDescent="0.25">
      <c r="C63" s="200"/>
      <c r="D63" s="200"/>
      <c r="E63" s="200"/>
      <c r="F63" s="200"/>
      <c r="G63" s="200"/>
      <c r="H63" s="200"/>
    </row>
    <row r="64" spans="3:8" x14ac:dyDescent="0.25">
      <c r="C64" s="200"/>
      <c r="D64" s="200"/>
      <c r="E64" s="200"/>
      <c r="F64" s="200"/>
      <c r="G64" s="200"/>
      <c r="H64" s="200"/>
    </row>
    <row r="65" spans="3:8" x14ac:dyDescent="0.25">
      <c r="C65" s="200"/>
      <c r="D65" s="200"/>
      <c r="E65" s="200"/>
      <c r="F65" s="200"/>
      <c r="G65" s="200"/>
      <c r="H65" s="200"/>
    </row>
    <row r="66" spans="3:8" x14ac:dyDescent="0.25">
      <c r="C66" s="200"/>
      <c r="D66" s="200"/>
      <c r="E66" s="200"/>
      <c r="F66" s="200"/>
      <c r="G66" s="200"/>
      <c r="H66" s="200"/>
    </row>
    <row r="67" spans="3:8" x14ac:dyDescent="0.25">
      <c r="C67" s="200"/>
      <c r="D67" s="200"/>
      <c r="E67" s="200"/>
      <c r="F67" s="200"/>
      <c r="G67" s="200"/>
      <c r="H67" s="200"/>
    </row>
    <row r="68" spans="3:8" x14ac:dyDescent="0.25">
      <c r="C68" s="200"/>
      <c r="D68" s="200"/>
      <c r="E68" s="200"/>
      <c r="F68" s="200"/>
      <c r="G68" s="200"/>
      <c r="H68" s="200"/>
    </row>
    <row r="69" spans="3:8" x14ac:dyDescent="0.25">
      <c r="C69" s="200"/>
      <c r="D69" s="200"/>
      <c r="E69" s="200"/>
      <c r="F69" s="200"/>
      <c r="G69" s="200"/>
      <c r="H69" s="200"/>
    </row>
    <row r="70" spans="3:8" x14ac:dyDescent="0.25">
      <c r="C70" s="200"/>
      <c r="D70" s="200"/>
      <c r="E70" s="200"/>
      <c r="F70" s="200"/>
      <c r="G70" s="200"/>
      <c r="H70" s="200"/>
    </row>
    <row r="71" spans="3:8" x14ac:dyDescent="0.25">
      <c r="C71" s="200"/>
      <c r="D71" s="200"/>
      <c r="E71" s="200"/>
      <c r="F71" s="200"/>
      <c r="G71" s="200"/>
      <c r="H71" s="200"/>
    </row>
    <row r="72" spans="3:8" x14ac:dyDescent="0.25">
      <c r="C72" s="200"/>
      <c r="D72" s="200"/>
      <c r="E72" s="200"/>
      <c r="F72" s="200"/>
      <c r="G72" s="200"/>
      <c r="H72" s="200"/>
    </row>
    <row r="73" spans="3:8" x14ac:dyDescent="0.25">
      <c r="C73" s="200"/>
      <c r="D73" s="200"/>
      <c r="E73" s="200"/>
      <c r="F73" s="200"/>
      <c r="G73" s="200"/>
      <c r="H73" s="200"/>
    </row>
    <row r="74" spans="3:8" x14ac:dyDescent="0.25">
      <c r="C74" s="200"/>
      <c r="D74" s="200"/>
      <c r="E74" s="200"/>
      <c r="F74" s="200"/>
      <c r="G74" s="200"/>
      <c r="H74" s="200"/>
    </row>
    <row r="75" spans="3:8" x14ac:dyDescent="0.25">
      <c r="C75" s="200"/>
      <c r="D75" s="200"/>
      <c r="E75" s="200"/>
      <c r="F75" s="200"/>
      <c r="G75" s="200"/>
      <c r="H75" s="200"/>
    </row>
    <row r="76" spans="3:8" x14ac:dyDescent="0.25">
      <c r="C76" s="200"/>
      <c r="D76" s="200"/>
      <c r="E76" s="200"/>
      <c r="F76" s="200"/>
      <c r="G76" s="200"/>
      <c r="H76" s="200"/>
    </row>
    <row r="77" spans="3:8" x14ac:dyDescent="0.25">
      <c r="C77" s="200"/>
      <c r="D77" s="200"/>
      <c r="E77" s="200"/>
      <c r="F77" s="200"/>
      <c r="G77" s="200"/>
      <c r="H77" s="200"/>
    </row>
    <row r="78" spans="3:8" x14ac:dyDescent="0.25">
      <c r="C78" s="200"/>
      <c r="D78" s="200"/>
      <c r="E78" s="200"/>
      <c r="F78" s="200"/>
      <c r="G78" s="200"/>
      <c r="H78" s="200"/>
    </row>
    <row r="79" spans="3:8" x14ac:dyDescent="0.25">
      <c r="C79" s="200"/>
      <c r="D79" s="200"/>
      <c r="E79" s="200"/>
      <c r="F79" s="200"/>
      <c r="G79" s="200"/>
      <c r="H79" s="200"/>
    </row>
    <row r="80" spans="3:8" x14ac:dyDescent="0.25">
      <c r="C80" s="200"/>
      <c r="D80" s="200"/>
      <c r="E80" s="200"/>
      <c r="F80" s="200"/>
      <c r="G80" s="200"/>
      <c r="H80" s="200"/>
    </row>
    <row r="81" spans="3:8" x14ac:dyDescent="0.25">
      <c r="C81" s="200"/>
      <c r="D81" s="200"/>
      <c r="E81" s="200"/>
      <c r="F81" s="200"/>
      <c r="G81" s="200"/>
      <c r="H81" s="200"/>
    </row>
    <row r="82" spans="3:8" x14ac:dyDescent="0.25">
      <c r="C82" s="200"/>
      <c r="D82" s="200"/>
      <c r="E82" s="200"/>
      <c r="F82" s="200"/>
      <c r="G82" s="200"/>
      <c r="H82" s="200"/>
    </row>
    <row r="83" spans="3:8" x14ac:dyDescent="0.25">
      <c r="C83" s="200"/>
      <c r="D83" s="200"/>
      <c r="E83" s="200"/>
      <c r="F83" s="200"/>
      <c r="G83" s="200"/>
      <c r="H83" s="200"/>
    </row>
  </sheetData>
  <mergeCells count="11">
    <mergeCell ref="A1:J1"/>
    <mergeCell ref="A2:J2"/>
    <mergeCell ref="J3:J4"/>
    <mergeCell ref="E3:E4"/>
    <mergeCell ref="I3:I4"/>
    <mergeCell ref="G3:G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3"/>
  <sheetViews>
    <sheetView zoomScaleNormal="100" workbookViewId="0">
      <pane xSplit="2" ySplit="5" topLeftCell="C10" activePane="bottomRight" state="frozen"/>
      <selection pane="topRight" activeCell="C1" sqref="C1"/>
      <selection pane="bottomLeft" activeCell="A6" sqref="A6"/>
      <selection pane="bottomRight" activeCell="O17" sqref="O17"/>
    </sheetView>
  </sheetViews>
  <sheetFormatPr defaultColWidth="9.140625" defaultRowHeight="15.75" x14ac:dyDescent="0.25"/>
  <cols>
    <col min="1" max="1" width="7.28515625" style="228" customWidth="1"/>
    <col min="2" max="2" width="56.5703125" style="233" customWidth="1"/>
    <col min="3" max="4" width="14.28515625" style="228" bestFit="1" customWidth="1"/>
    <col min="5" max="5" width="15" style="228" bestFit="1" customWidth="1"/>
    <col min="6" max="6" width="14.85546875" style="228" bestFit="1" customWidth="1"/>
    <col min="7" max="8" width="13.7109375" style="228" bestFit="1" customWidth="1"/>
    <col min="9" max="9" width="13.42578125" style="228" customWidth="1"/>
    <col min="10" max="10" width="12.42578125" style="228" customWidth="1"/>
    <col min="11" max="11" width="14.5703125" style="228" customWidth="1"/>
    <col min="12" max="12" width="14.42578125" style="228" customWidth="1"/>
    <col min="13" max="13" width="14.85546875" style="228" customWidth="1"/>
    <col min="14" max="14" width="14.7109375" style="228" customWidth="1"/>
    <col min="15" max="15" width="14.140625" style="228" customWidth="1"/>
    <col min="16" max="16" width="14.28515625" style="228" customWidth="1"/>
    <col min="17" max="16384" width="9.140625" style="228"/>
  </cols>
  <sheetData>
    <row r="1" spans="1:256" ht="27.75" customHeight="1" thickBot="1" x14ac:dyDescent="0.3">
      <c r="A1" s="863" t="s">
        <v>1115</v>
      </c>
      <c r="B1" s="864"/>
      <c r="C1" s="864"/>
      <c r="D1" s="864"/>
      <c r="E1" s="864"/>
      <c r="F1" s="864"/>
      <c r="G1" s="864"/>
      <c r="H1" s="864"/>
      <c r="I1" s="864"/>
      <c r="J1" s="864"/>
      <c r="K1" s="864"/>
      <c r="L1" s="864"/>
      <c r="M1" s="864"/>
      <c r="N1" s="865"/>
    </row>
    <row r="2" spans="1:256" ht="28.5" customHeight="1" x14ac:dyDescent="0.25">
      <c r="A2" s="866" t="s">
        <v>1201</v>
      </c>
      <c r="B2" s="867"/>
      <c r="C2" s="867"/>
      <c r="D2" s="867"/>
      <c r="E2" s="867"/>
      <c r="F2" s="867"/>
      <c r="G2" s="867"/>
      <c r="H2" s="867"/>
      <c r="I2" s="868"/>
      <c r="J2" s="868"/>
      <c r="K2" s="867"/>
      <c r="L2" s="867"/>
      <c r="M2" s="867"/>
      <c r="N2" s="869"/>
    </row>
    <row r="3" spans="1:256" ht="51.75" customHeight="1" x14ac:dyDescent="0.25">
      <c r="A3" s="870" t="s">
        <v>205</v>
      </c>
      <c r="B3" s="871" t="s">
        <v>877</v>
      </c>
      <c r="C3" s="860" t="s">
        <v>335</v>
      </c>
      <c r="D3" s="860"/>
      <c r="E3" s="860" t="s">
        <v>336</v>
      </c>
      <c r="F3" s="860"/>
      <c r="G3" s="860" t="s">
        <v>337</v>
      </c>
      <c r="H3" s="851"/>
      <c r="I3" s="873" t="s">
        <v>777</v>
      </c>
      <c r="J3" s="873"/>
      <c r="K3" s="874" t="s">
        <v>309</v>
      </c>
      <c r="L3" s="860"/>
      <c r="M3" s="860" t="s">
        <v>329</v>
      </c>
      <c r="N3" s="861"/>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29"/>
      <c r="GI3" s="229"/>
      <c r="GJ3" s="229"/>
      <c r="GK3" s="229"/>
      <c r="GL3" s="229"/>
      <c r="GM3" s="229"/>
      <c r="GN3" s="229"/>
      <c r="GO3" s="229"/>
      <c r="GP3" s="229"/>
      <c r="GQ3" s="229"/>
      <c r="GR3" s="229"/>
      <c r="GS3" s="229"/>
      <c r="GT3" s="229"/>
      <c r="GU3" s="229"/>
      <c r="GV3" s="229"/>
      <c r="GW3" s="229"/>
      <c r="GX3" s="229"/>
      <c r="GY3" s="229"/>
      <c r="GZ3" s="229"/>
      <c r="HA3" s="229"/>
      <c r="HB3" s="229"/>
      <c r="HC3" s="229"/>
      <c r="HD3" s="229"/>
      <c r="HE3" s="229"/>
      <c r="HF3" s="229"/>
      <c r="HG3" s="229"/>
      <c r="HH3" s="229"/>
      <c r="HI3" s="229"/>
      <c r="HJ3" s="229"/>
      <c r="HK3" s="229"/>
      <c r="HL3" s="229"/>
      <c r="HM3" s="229"/>
      <c r="HN3" s="229"/>
      <c r="HO3" s="229"/>
      <c r="HP3" s="229"/>
      <c r="HQ3" s="229"/>
      <c r="HR3" s="229"/>
      <c r="HS3" s="229"/>
      <c r="HT3" s="229"/>
      <c r="HU3" s="229"/>
      <c r="HV3" s="229"/>
      <c r="HW3" s="229"/>
      <c r="HX3" s="229"/>
      <c r="HY3" s="229"/>
      <c r="HZ3" s="229"/>
      <c r="IA3" s="229"/>
      <c r="IB3" s="229"/>
      <c r="IC3" s="229"/>
      <c r="ID3" s="229"/>
      <c r="IE3" s="229"/>
      <c r="IF3" s="229"/>
      <c r="IG3" s="229"/>
      <c r="IH3" s="229"/>
      <c r="II3" s="229"/>
      <c r="IJ3" s="229"/>
      <c r="IK3" s="229"/>
      <c r="IL3" s="229"/>
      <c r="IM3" s="229"/>
      <c r="IN3" s="229"/>
      <c r="IO3" s="229"/>
      <c r="IP3" s="229"/>
      <c r="IQ3" s="229"/>
      <c r="IR3" s="229"/>
      <c r="IS3" s="229"/>
      <c r="IT3" s="229"/>
      <c r="IU3" s="229"/>
      <c r="IV3" s="229"/>
    </row>
    <row r="4" spans="1:256" ht="17.25" customHeight="1" x14ac:dyDescent="0.25">
      <c r="A4" s="870"/>
      <c r="B4" s="872"/>
      <c r="C4" s="557">
        <v>2017</v>
      </c>
      <c r="D4" s="557">
        <v>2018</v>
      </c>
      <c r="E4" s="557">
        <v>2017</v>
      </c>
      <c r="F4" s="557">
        <v>2018</v>
      </c>
      <c r="G4" s="557">
        <v>2017</v>
      </c>
      <c r="H4" s="557">
        <v>2018</v>
      </c>
      <c r="I4" s="557">
        <v>2017</v>
      </c>
      <c r="J4" s="557">
        <v>2018</v>
      </c>
      <c r="K4" s="557">
        <v>2017</v>
      </c>
      <c r="L4" s="557">
        <v>2018</v>
      </c>
      <c r="M4" s="557">
        <v>2017</v>
      </c>
      <c r="N4" s="557">
        <v>2018</v>
      </c>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c r="CY4" s="229"/>
      <c r="CZ4" s="229"/>
      <c r="DA4" s="229"/>
      <c r="DB4" s="229"/>
      <c r="DC4" s="229"/>
      <c r="DD4" s="229"/>
      <c r="DE4" s="229"/>
      <c r="DF4" s="229"/>
      <c r="DG4" s="229"/>
      <c r="DH4" s="229"/>
      <c r="DI4" s="229"/>
      <c r="DJ4" s="229"/>
      <c r="DK4" s="229"/>
      <c r="DL4" s="229"/>
      <c r="DM4" s="229"/>
      <c r="DN4" s="229"/>
      <c r="DO4" s="229"/>
      <c r="DP4" s="229"/>
      <c r="DQ4" s="229"/>
      <c r="DR4" s="229"/>
      <c r="DS4" s="229"/>
      <c r="DT4" s="229"/>
      <c r="DU4" s="229"/>
      <c r="DV4" s="229"/>
      <c r="DW4" s="229"/>
      <c r="DX4" s="229"/>
      <c r="DY4" s="229"/>
      <c r="DZ4" s="229"/>
      <c r="EA4" s="229"/>
      <c r="EB4" s="229"/>
      <c r="EC4" s="229"/>
      <c r="ED4" s="229"/>
      <c r="EE4" s="229"/>
      <c r="EF4" s="229"/>
      <c r="EG4" s="229"/>
      <c r="EH4" s="229"/>
      <c r="EI4" s="229"/>
      <c r="EJ4" s="229"/>
      <c r="EK4" s="229"/>
      <c r="EL4" s="229"/>
      <c r="EM4" s="229"/>
      <c r="EN4" s="229"/>
      <c r="EO4" s="229"/>
      <c r="EP4" s="229"/>
      <c r="EQ4" s="229"/>
      <c r="ER4" s="229"/>
      <c r="ES4" s="229"/>
      <c r="ET4" s="229"/>
      <c r="EU4" s="229"/>
      <c r="EV4" s="229"/>
      <c r="EW4" s="229"/>
      <c r="EX4" s="229"/>
      <c r="EY4" s="229"/>
      <c r="EZ4" s="229"/>
      <c r="FA4" s="229"/>
      <c r="FB4" s="229"/>
      <c r="FC4" s="229"/>
      <c r="FD4" s="229"/>
      <c r="FE4" s="229"/>
      <c r="FF4" s="229"/>
      <c r="FG4" s="229"/>
      <c r="FH4" s="229"/>
      <c r="FI4" s="229"/>
      <c r="FJ4" s="229"/>
      <c r="FK4" s="229"/>
      <c r="FL4" s="229"/>
      <c r="FM4" s="229"/>
      <c r="FN4" s="229"/>
      <c r="FO4" s="229"/>
      <c r="FP4" s="229"/>
      <c r="FQ4" s="229"/>
      <c r="FR4" s="229"/>
      <c r="FS4" s="229"/>
      <c r="FT4" s="229"/>
      <c r="FU4" s="229"/>
      <c r="FV4" s="229"/>
      <c r="FW4" s="229"/>
      <c r="FX4" s="229"/>
      <c r="FY4" s="229"/>
      <c r="FZ4" s="229"/>
      <c r="GA4" s="229"/>
      <c r="GB4" s="229"/>
      <c r="GC4" s="229"/>
      <c r="GD4" s="229"/>
      <c r="GE4" s="229"/>
      <c r="GF4" s="229"/>
      <c r="GG4" s="229"/>
      <c r="GH4" s="229"/>
      <c r="GI4" s="229"/>
      <c r="GJ4" s="229"/>
      <c r="GK4" s="229"/>
      <c r="GL4" s="229"/>
      <c r="GM4" s="229"/>
      <c r="GN4" s="229"/>
      <c r="GO4" s="229"/>
      <c r="GP4" s="229"/>
      <c r="GQ4" s="229"/>
      <c r="GR4" s="229"/>
      <c r="GS4" s="229"/>
      <c r="GT4" s="229"/>
      <c r="GU4" s="229"/>
      <c r="GV4" s="229"/>
      <c r="GW4" s="229"/>
      <c r="GX4" s="229"/>
      <c r="GY4" s="229"/>
      <c r="GZ4" s="229"/>
      <c r="HA4" s="229"/>
      <c r="HB4" s="229"/>
      <c r="HC4" s="229"/>
      <c r="HD4" s="229"/>
      <c r="HE4" s="229"/>
      <c r="HF4" s="229"/>
      <c r="HG4" s="229"/>
      <c r="HH4" s="229"/>
      <c r="HI4" s="229"/>
      <c r="HJ4" s="229"/>
      <c r="HK4" s="229"/>
      <c r="HL4" s="229"/>
      <c r="HM4" s="229"/>
      <c r="HN4" s="229"/>
      <c r="HO4" s="229"/>
      <c r="HP4" s="229"/>
      <c r="HQ4" s="229"/>
      <c r="HR4" s="229"/>
      <c r="HS4" s="229"/>
      <c r="HT4" s="229"/>
      <c r="HU4" s="229"/>
      <c r="HV4" s="229"/>
      <c r="HW4" s="229"/>
      <c r="HX4" s="229"/>
      <c r="HY4" s="229"/>
      <c r="HZ4" s="229"/>
      <c r="IA4" s="229"/>
      <c r="IB4" s="229"/>
      <c r="IC4" s="229"/>
      <c r="ID4" s="229"/>
      <c r="IE4" s="229"/>
      <c r="IF4" s="229"/>
      <c r="IG4" s="229"/>
      <c r="IH4" s="229"/>
      <c r="II4" s="229"/>
      <c r="IJ4" s="229"/>
      <c r="IK4" s="229"/>
      <c r="IL4" s="229"/>
      <c r="IM4" s="229"/>
      <c r="IN4" s="229"/>
      <c r="IO4" s="229"/>
      <c r="IP4" s="229"/>
      <c r="IQ4" s="229"/>
      <c r="IR4" s="229"/>
      <c r="IS4" s="229"/>
      <c r="IT4" s="229"/>
      <c r="IU4" s="229"/>
      <c r="IV4" s="229"/>
    </row>
    <row r="5" spans="1:256" x14ac:dyDescent="0.25">
      <c r="A5" s="41"/>
      <c r="B5" s="230"/>
      <c r="C5" s="35" t="s">
        <v>286</v>
      </c>
      <c r="D5" s="35" t="s">
        <v>287</v>
      </c>
      <c r="E5" s="35" t="s">
        <v>288</v>
      </c>
      <c r="F5" s="35" t="s">
        <v>295</v>
      </c>
      <c r="G5" s="35" t="s">
        <v>289</v>
      </c>
      <c r="H5" s="256" t="s">
        <v>290</v>
      </c>
      <c r="I5" s="35" t="s">
        <v>291</v>
      </c>
      <c r="J5" s="35" t="s">
        <v>292</v>
      </c>
      <c r="K5" s="35" t="s">
        <v>293</v>
      </c>
      <c r="L5" s="35" t="s">
        <v>712</v>
      </c>
      <c r="M5" s="410" t="s">
        <v>972</v>
      </c>
      <c r="N5" s="411" t="s">
        <v>973</v>
      </c>
      <c r="O5" s="229"/>
      <c r="P5" s="229"/>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1"/>
      <c r="GY5" s="231"/>
      <c r="GZ5" s="231"/>
      <c r="HA5" s="231"/>
      <c r="HB5" s="231"/>
      <c r="HC5" s="231"/>
      <c r="HD5" s="231"/>
      <c r="HE5" s="231"/>
      <c r="HF5" s="231"/>
      <c r="HG5" s="231"/>
      <c r="HH5" s="231"/>
      <c r="HI5" s="231"/>
      <c r="HJ5" s="231"/>
      <c r="HK5" s="231"/>
      <c r="HL5" s="231"/>
      <c r="HM5" s="231"/>
      <c r="HN5" s="231"/>
      <c r="HO5" s="231"/>
      <c r="HP5" s="231"/>
      <c r="HQ5" s="231"/>
      <c r="HR5" s="231"/>
      <c r="HS5" s="231"/>
      <c r="HT5" s="231"/>
      <c r="HU5" s="231"/>
      <c r="HV5" s="231"/>
      <c r="HW5" s="231"/>
      <c r="HX5" s="231"/>
      <c r="HY5" s="231"/>
      <c r="HZ5" s="231"/>
      <c r="IA5" s="231"/>
      <c r="IB5" s="231"/>
      <c r="IC5" s="231"/>
      <c r="ID5" s="231"/>
      <c r="IE5" s="231"/>
      <c r="IF5" s="231"/>
      <c r="IG5" s="231"/>
      <c r="IH5" s="231"/>
      <c r="II5" s="231"/>
      <c r="IJ5" s="231"/>
      <c r="IK5" s="231"/>
      <c r="IL5" s="231"/>
      <c r="IM5" s="231"/>
      <c r="IN5" s="231"/>
      <c r="IO5" s="231"/>
      <c r="IP5" s="231"/>
      <c r="IQ5" s="231"/>
      <c r="IR5" s="231"/>
      <c r="IS5" s="231"/>
      <c r="IT5" s="231"/>
      <c r="IU5" s="231"/>
      <c r="IV5" s="231"/>
    </row>
    <row r="6" spans="1:256" ht="31.5" x14ac:dyDescent="0.25">
      <c r="A6" s="41">
        <v>1</v>
      </c>
      <c r="B6" s="338" t="s">
        <v>201</v>
      </c>
      <c r="C6" s="602">
        <v>47034.400000000001</v>
      </c>
      <c r="D6" s="603">
        <f>C17</f>
        <v>247136.58999999985</v>
      </c>
      <c r="E6" s="602">
        <v>15969485.58</v>
      </c>
      <c r="F6" s="603">
        <f>E17</f>
        <v>19101855.609999999</v>
      </c>
      <c r="G6" s="604">
        <v>1065996.46</v>
      </c>
      <c r="H6" s="605">
        <f>G17</f>
        <v>1046611.1099999994</v>
      </c>
      <c r="I6" s="602">
        <v>685.95</v>
      </c>
      <c r="J6" s="603">
        <f>SUM(I17)</f>
        <v>1917.2600000000002</v>
      </c>
      <c r="K6" s="602">
        <v>532190.05000000005</v>
      </c>
      <c r="L6" s="603">
        <f>SUM(K17)</f>
        <v>816628.83000000007</v>
      </c>
      <c r="M6" s="290">
        <f t="shared" ref="M6:N8" si="0">C6+E6+G6+I6+K6</f>
        <v>17615392.440000001</v>
      </c>
      <c r="N6" s="291">
        <f t="shared" si="0"/>
        <v>21214149.399999999</v>
      </c>
      <c r="O6" s="229"/>
      <c r="P6" s="229"/>
    </row>
    <row r="7" spans="1:256" x14ac:dyDescent="0.25">
      <c r="A7" s="41">
        <v>2</v>
      </c>
      <c r="B7" s="339" t="s">
        <v>754</v>
      </c>
      <c r="C7" s="603">
        <f t="shared" ref="C7:L7" si="1">SUM(C8:C15)</f>
        <v>2989993.81</v>
      </c>
      <c r="D7" s="603">
        <f t="shared" si="1"/>
        <v>710084.13</v>
      </c>
      <c r="E7" s="603">
        <f t="shared" si="1"/>
        <v>5077739.6400000006</v>
      </c>
      <c r="F7" s="603">
        <f t="shared" si="1"/>
        <v>2473105.63</v>
      </c>
      <c r="G7" s="605">
        <f>SUM(G8:G15)</f>
        <v>3183631.1399999997</v>
      </c>
      <c r="H7" s="605">
        <f>SUM(H8:H15)</f>
        <v>2932003.83</v>
      </c>
      <c r="I7" s="603">
        <f t="shared" si="1"/>
        <v>6054</v>
      </c>
      <c r="J7" s="603">
        <f t="shared" si="1"/>
        <v>5000</v>
      </c>
      <c r="K7" s="603">
        <f t="shared" si="1"/>
        <v>602481.78</v>
      </c>
      <c r="L7" s="603">
        <f t="shared" si="1"/>
        <v>265355.2</v>
      </c>
      <c r="M7" s="290">
        <f t="shared" si="0"/>
        <v>11859900.369999999</v>
      </c>
      <c r="N7" s="291">
        <f t="shared" si="0"/>
        <v>6385548.79</v>
      </c>
      <c r="O7" s="229"/>
      <c r="P7" s="229"/>
    </row>
    <row r="8" spans="1:256" ht="22.5" customHeight="1" x14ac:dyDescent="0.25">
      <c r="A8" s="41">
        <v>3</v>
      </c>
      <c r="B8" s="340" t="s">
        <v>90</v>
      </c>
      <c r="C8" s="606">
        <v>2377899.98</v>
      </c>
      <c r="D8" s="606">
        <v>697339.03</v>
      </c>
      <c r="E8" s="606">
        <v>0</v>
      </c>
      <c r="F8" s="606">
        <v>0</v>
      </c>
      <c r="G8" s="607">
        <v>0</v>
      </c>
      <c r="H8" s="607">
        <v>20000</v>
      </c>
      <c r="I8" s="606"/>
      <c r="J8" s="606">
        <v>5000</v>
      </c>
      <c r="K8" s="606"/>
      <c r="L8" s="606"/>
      <c r="M8" s="290">
        <f t="shared" si="0"/>
        <v>2377899.98</v>
      </c>
      <c r="N8" s="291">
        <f t="shared" si="0"/>
        <v>722339.03</v>
      </c>
    </row>
    <row r="9" spans="1:256" ht="21.75" customHeight="1" x14ac:dyDescent="0.25">
      <c r="A9" s="41">
        <v>4</v>
      </c>
      <c r="B9" s="340" t="s">
        <v>318</v>
      </c>
      <c r="C9" s="608" t="s">
        <v>317</v>
      </c>
      <c r="D9" s="608" t="s">
        <v>317</v>
      </c>
      <c r="E9" s="606">
        <v>2059059.86</v>
      </c>
      <c r="F9" s="609">
        <v>2421446.7799999998</v>
      </c>
      <c r="G9" s="608" t="s">
        <v>317</v>
      </c>
      <c r="H9" s="608" t="s">
        <v>317</v>
      </c>
      <c r="I9" s="610" t="s">
        <v>317</v>
      </c>
      <c r="J9" s="610" t="s">
        <v>317</v>
      </c>
      <c r="K9" s="608" t="s">
        <v>317</v>
      </c>
      <c r="L9" s="608" t="s">
        <v>317</v>
      </c>
      <c r="M9" s="290">
        <f>E9</f>
        <v>2059059.86</v>
      </c>
      <c r="N9" s="291">
        <f>F9</f>
        <v>2421446.7799999998</v>
      </c>
    </row>
    <row r="10" spans="1:256" x14ac:dyDescent="0.25">
      <c r="A10" s="41">
        <v>5</v>
      </c>
      <c r="B10" s="340" t="s">
        <v>11</v>
      </c>
      <c r="C10" s="608" t="s">
        <v>317</v>
      </c>
      <c r="D10" s="608" t="s">
        <v>317</v>
      </c>
      <c r="E10" s="606">
        <v>40685</v>
      </c>
      <c r="F10" s="606">
        <v>46891.79</v>
      </c>
      <c r="G10" s="608" t="s">
        <v>317</v>
      </c>
      <c r="H10" s="608" t="s">
        <v>317</v>
      </c>
      <c r="I10" s="610" t="s">
        <v>317</v>
      </c>
      <c r="J10" s="610" t="s">
        <v>317</v>
      </c>
      <c r="K10" s="608" t="s">
        <v>317</v>
      </c>
      <c r="L10" s="608" t="s">
        <v>317</v>
      </c>
      <c r="M10" s="290">
        <f>E10</f>
        <v>40685</v>
      </c>
      <c r="N10" s="291">
        <f>F10</f>
        <v>46891.79</v>
      </c>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c r="GI10" s="231"/>
      <c r="GJ10" s="231"/>
      <c r="GK10" s="231"/>
      <c r="GL10" s="231"/>
      <c r="GM10" s="231"/>
      <c r="GN10" s="231"/>
      <c r="GO10" s="231"/>
      <c r="GP10" s="231"/>
      <c r="GQ10" s="231"/>
      <c r="GR10" s="231"/>
      <c r="GS10" s="231"/>
      <c r="GT10" s="231"/>
      <c r="GU10" s="231"/>
      <c r="GV10" s="231"/>
      <c r="GW10" s="231"/>
      <c r="GX10" s="231"/>
      <c r="GY10" s="231"/>
      <c r="GZ10" s="231"/>
      <c r="HA10" s="231"/>
      <c r="HB10" s="231"/>
      <c r="HC10" s="231"/>
      <c r="HD10" s="231"/>
      <c r="HE10" s="231"/>
      <c r="HF10" s="231"/>
      <c r="HG10" s="231"/>
      <c r="HH10" s="231"/>
      <c r="HI10" s="231"/>
      <c r="HJ10" s="231"/>
      <c r="HK10" s="231"/>
      <c r="HL10" s="231"/>
      <c r="HM10" s="231"/>
      <c r="HN10" s="231"/>
      <c r="HO10" s="231"/>
      <c r="HP10" s="231"/>
      <c r="HQ10" s="231"/>
      <c r="HR10" s="231"/>
      <c r="HS10" s="231"/>
      <c r="HT10" s="231"/>
      <c r="HU10" s="231"/>
      <c r="HV10" s="231"/>
      <c r="HW10" s="231"/>
      <c r="HX10" s="231"/>
      <c r="HY10" s="231"/>
      <c r="HZ10" s="231"/>
      <c r="IA10" s="231"/>
      <c r="IB10" s="231"/>
      <c r="IC10" s="231"/>
      <c r="ID10" s="231"/>
      <c r="IE10" s="231"/>
      <c r="IF10" s="231"/>
      <c r="IG10" s="231"/>
      <c r="IH10" s="231"/>
      <c r="II10" s="231"/>
      <c r="IJ10" s="231"/>
      <c r="IK10" s="231"/>
      <c r="IL10" s="231"/>
      <c r="IM10" s="231"/>
      <c r="IN10" s="231"/>
      <c r="IO10" s="231"/>
      <c r="IP10" s="231"/>
      <c r="IQ10" s="231"/>
      <c r="IR10" s="231"/>
      <c r="IS10" s="231"/>
      <c r="IT10" s="231"/>
      <c r="IU10" s="231"/>
      <c r="IV10" s="231"/>
    </row>
    <row r="11" spans="1:256" x14ac:dyDescent="0.25">
      <c r="A11" s="41">
        <v>6</v>
      </c>
      <c r="B11" s="340" t="s">
        <v>319</v>
      </c>
      <c r="C11" s="608" t="s">
        <v>317</v>
      </c>
      <c r="D11" s="608" t="s">
        <v>317</v>
      </c>
      <c r="E11" s="606">
        <v>0</v>
      </c>
      <c r="F11" s="606">
        <v>0</v>
      </c>
      <c r="G11" s="607">
        <v>1680.24</v>
      </c>
      <c r="H11" s="607">
        <v>20000</v>
      </c>
      <c r="I11" s="611"/>
      <c r="J11" s="611">
        <v>0</v>
      </c>
      <c r="K11" s="602"/>
      <c r="L11" s="602"/>
      <c r="M11" s="290">
        <f>E11+G11+I11+K11</f>
        <v>1680.24</v>
      </c>
      <c r="N11" s="291">
        <f>F11+H11+J11+L11</f>
        <v>20000</v>
      </c>
    </row>
    <row r="12" spans="1:256" ht="17.25" customHeight="1" x14ac:dyDescent="0.25">
      <c r="A12" s="41">
        <v>7</v>
      </c>
      <c r="B12" s="340" t="s">
        <v>320</v>
      </c>
      <c r="C12" s="606">
        <v>0</v>
      </c>
      <c r="D12" s="606">
        <v>0</v>
      </c>
      <c r="E12" s="606">
        <v>0</v>
      </c>
      <c r="F12" s="606">
        <v>4767.0600000000004</v>
      </c>
      <c r="G12" s="607">
        <v>10142.290000000001</v>
      </c>
      <c r="H12" s="607">
        <v>5440</v>
      </c>
      <c r="I12" s="611"/>
      <c r="J12" s="611">
        <v>0</v>
      </c>
      <c r="K12" s="606">
        <v>602481.78</v>
      </c>
      <c r="L12" s="606">
        <v>265355.2</v>
      </c>
      <c r="M12" s="290">
        <f>C12+E12+G12+I12+K12</f>
        <v>612624.07000000007</v>
      </c>
      <c r="N12" s="291">
        <f>D12+F12+H12+J12+L12</f>
        <v>275562.26</v>
      </c>
    </row>
    <row r="13" spans="1:256" ht="18.75" x14ac:dyDescent="0.25">
      <c r="A13" s="41">
        <v>8</v>
      </c>
      <c r="B13" s="341" t="s">
        <v>91</v>
      </c>
      <c r="C13" s="608" t="s">
        <v>317</v>
      </c>
      <c r="D13" s="608" t="s">
        <v>317</v>
      </c>
      <c r="E13" s="608" t="s">
        <v>317</v>
      </c>
      <c r="F13" s="608" t="s">
        <v>317</v>
      </c>
      <c r="G13" s="607">
        <v>2966814.06</v>
      </c>
      <c r="H13" s="607">
        <v>2645381</v>
      </c>
      <c r="I13" s="612" t="s">
        <v>317</v>
      </c>
      <c r="J13" s="612" t="s">
        <v>317</v>
      </c>
      <c r="K13" s="612" t="s">
        <v>317</v>
      </c>
      <c r="L13" s="612" t="s">
        <v>317</v>
      </c>
      <c r="M13" s="290">
        <f>G13</f>
        <v>2966814.06</v>
      </c>
      <c r="N13" s="291">
        <f>H13</f>
        <v>2645381</v>
      </c>
    </row>
    <row r="14" spans="1:256" ht="19.5" customHeight="1" x14ac:dyDescent="0.25">
      <c r="A14" s="41">
        <v>9</v>
      </c>
      <c r="B14" s="340" t="s">
        <v>24</v>
      </c>
      <c r="C14" s="608" t="s">
        <v>317</v>
      </c>
      <c r="D14" s="608" t="s">
        <v>317</v>
      </c>
      <c r="E14" s="608" t="s">
        <v>317</v>
      </c>
      <c r="F14" s="608" t="s">
        <v>317</v>
      </c>
      <c r="G14" s="607">
        <v>200065.4</v>
      </c>
      <c r="H14" s="607">
        <v>193447.24</v>
      </c>
      <c r="I14" s="613" t="s">
        <v>317</v>
      </c>
      <c r="J14" s="613" t="s">
        <v>317</v>
      </c>
      <c r="K14" s="612" t="s">
        <v>317</v>
      </c>
      <c r="L14" s="612" t="s">
        <v>317</v>
      </c>
      <c r="M14" s="290">
        <f>G14</f>
        <v>200065.4</v>
      </c>
      <c r="N14" s="291">
        <f>H14</f>
        <v>193447.24</v>
      </c>
    </row>
    <row r="15" spans="1:256" ht="18.75" x14ac:dyDescent="0.25">
      <c r="A15" s="41">
        <v>10</v>
      </c>
      <c r="B15" s="340" t="s">
        <v>92</v>
      </c>
      <c r="C15" s="606">
        <v>612093.82999999996</v>
      </c>
      <c r="D15" s="606">
        <v>12745.1</v>
      </c>
      <c r="E15" s="606">
        <v>2977994.78</v>
      </c>
      <c r="F15" s="606">
        <v>0</v>
      </c>
      <c r="G15" s="607">
        <v>4929.1499999999996</v>
      </c>
      <c r="H15" s="607">
        <v>47735.59</v>
      </c>
      <c r="I15" s="611">
        <v>6054</v>
      </c>
      <c r="J15" s="611">
        <v>0</v>
      </c>
      <c r="K15" s="606"/>
      <c r="L15" s="606"/>
      <c r="M15" s="290">
        <f>C15+E15+G15+I15+K15</f>
        <v>3601071.76</v>
      </c>
      <c r="N15" s="291">
        <f>D15+F15+H15+J15+L15</f>
        <v>60480.689999999995</v>
      </c>
    </row>
    <row r="16" spans="1:256" x14ac:dyDescent="0.25">
      <c r="A16" s="41">
        <v>11</v>
      </c>
      <c r="B16" s="338" t="s">
        <v>202</v>
      </c>
      <c r="C16" s="602">
        <v>2789891.62</v>
      </c>
      <c r="D16" s="602">
        <v>225420.33</v>
      </c>
      <c r="E16" s="602">
        <v>1945369.61</v>
      </c>
      <c r="F16" s="602">
        <v>557316.59</v>
      </c>
      <c r="G16" s="607">
        <v>3203016.49</v>
      </c>
      <c r="H16" s="607">
        <v>2928096.73</v>
      </c>
      <c r="I16" s="602">
        <v>4822.6899999999996</v>
      </c>
      <c r="J16" s="602">
        <v>1118</v>
      </c>
      <c r="K16" s="602">
        <v>318043</v>
      </c>
      <c r="L16" s="602">
        <v>371616.21</v>
      </c>
      <c r="M16" s="290">
        <f t="shared" ref="M16:N18" si="2">C16+E16+G16+I16+K16</f>
        <v>8261143.4100000011</v>
      </c>
      <c r="N16" s="291">
        <f t="shared" si="2"/>
        <v>4083567.86</v>
      </c>
    </row>
    <row r="17" spans="1:14" x14ac:dyDescent="0.25">
      <c r="A17" s="41">
        <v>12</v>
      </c>
      <c r="B17" s="338" t="s">
        <v>25</v>
      </c>
      <c r="C17" s="603">
        <f t="shared" ref="C17:L17" si="3">C6+C7-C16</f>
        <v>247136.58999999985</v>
      </c>
      <c r="D17" s="603">
        <f t="shared" si="3"/>
        <v>731800.3899999999</v>
      </c>
      <c r="E17" s="603">
        <f t="shared" si="3"/>
        <v>19101855.609999999</v>
      </c>
      <c r="F17" s="603">
        <f t="shared" si="3"/>
        <v>21017644.649999999</v>
      </c>
      <c r="G17" s="605">
        <f t="shared" si="3"/>
        <v>1046611.1099999994</v>
      </c>
      <c r="H17" s="605">
        <f t="shared" si="3"/>
        <v>1050518.2099999995</v>
      </c>
      <c r="I17" s="603">
        <f t="shared" si="3"/>
        <v>1917.2600000000002</v>
      </c>
      <c r="J17" s="603">
        <f t="shared" si="3"/>
        <v>5799.26</v>
      </c>
      <c r="K17" s="603">
        <f t="shared" si="3"/>
        <v>816628.83000000007</v>
      </c>
      <c r="L17" s="603">
        <f t="shared" si="3"/>
        <v>710367.82000000007</v>
      </c>
      <c r="M17" s="290">
        <f t="shared" si="2"/>
        <v>21214149.399999999</v>
      </c>
      <c r="N17" s="291">
        <f t="shared" si="2"/>
        <v>23516130.330000002</v>
      </c>
    </row>
    <row r="18" spans="1:14" ht="48.75" customHeight="1" thickBot="1" x14ac:dyDescent="0.3">
      <c r="A18" s="232">
        <v>13</v>
      </c>
      <c r="B18" s="342" t="s">
        <v>876</v>
      </c>
      <c r="C18" s="614">
        <v>0</v>
      </c>
      <c r="D18" s="614">
        <v>0</v>
      </c>
      <c r="E18" s="614">
        <v>0</v>
      </c>
      <c r="F18" s="615">
        <f>'[5]T16 - Štruktúra hotovosti'!C17</f>
        <v>2425855.64</v>
      </c>
      <c r="G18" s="616">
        <v>0</v>
      </c>
      <c r="H18" s="616">
        <v>39874.31</v>
      </c>
      <c r="I18" s="614">
        <v>0</v>
      </c>
      <c r="J18" s="614">
        <v>0</v>
      </c>
      <c r="K18" s="614">
        <v>0</v>
      </c>
      <c r="L18" s="614">
        <v>0</v>
      </c>
      <c r="M18" s="292">
        <f t="shared" si="2"/>
        <v>0</v>
      </c>
      <c r="N18" s="293">
        <f t="shared" si="2"/>
        <v>2465729.9500000002</v>
      </c>
    </row>
    <row r="19" spans="1:14" x14ac:dyDescent="0.25">
      <c r="F19" s="617"/>
      <c r="H19" s="694"/>
      <c r="I19" s="234"/>
      <c r="J19" s="234"/>
    </row>
    <row r="20" spans="1:14" x14ac:dyDescent="0.25">
      <c r="A20" s="234" t="s">
        <v>93</v>
      </c>
      <c r="B20" s="234"/>
      <c r="C20" s="234"/>
      <c r="E20" s="234"/>
      <c r="F20" s="690"/>
      <c r="G20" s="234"/>
      <c r="H20" s="695"/>
      <c r="I20" s="234"/>
      <c r="J20" s="234"/>
      <c r="K20" s="234"/>
      <c r="L20" s="234"/>
      <c r="M20" s="234"/>
      <c r="N20" s="234"/>
    </row>
    <row r="21" spans="1:14" x14ac:dyDescent="0.25">
      <c r="A21" s="234" t="s">
        <v>94</v>
      </c>
      <c r="B21" s="234"/>
      <c r="C21" s="234"/>
      <c r="D21" s="234"/>
      <c r="E21" s="234"/>
      <c r="F21" s="234"/>
      <c r="G21" s="234"/>
      <c r="H21" s="695"/>
      <c r="I21" s="234"/>
      <c r="J21" s="234"/>
      <c r="K21" s="234"/>
      <c r="L21" s="234"/>
      <c r="M21" s="234"/>
      <c r="N21" s="234"/>
    </row>
    <row r="22" spans="1:14" ht="33" customHeight="1" x14ac:dyDescent="0.25">
      <c r="A22" s="862" t="s">
        <v>95</v>
      </c>
      <c r="B22" s="862"/>
      <c r="C22" s="862"/>
      <c r="D22" s="234"/>
      <c r="E22" s="234"/>
      <c r="F22" s="234"/>
      <c r="G22" s="234"/>
      <c r="H22" s="695"/>
      <c r="I22" s="234"/>
      <c r="J22" s="234"/>
      <c r="K22" s="234"/>
      <c r="L22" s="234"/>
      <c r="M22" s="234"/>
      <c r="N22" s="234"/>
    </row>
    <row r="23" spans="1:14" x14ac:dyDescent="0.25">
      <c r="L23" s="234"/>
    </row>
  </sheetData>
  <mergeCells count="11">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E26"/>
  <sheetViews>
    <sheetView workbookViewId="0">
      <selection activeCell="C20" sqref="C20"/>
    </sheetView>
  </sheetViews>
  <sheetFormatPr defaultColWidth="62.140625" defaultRowHeight="12.75" x14ac:dyDescent="0.2"/>
  <cols>
    <col min="1" max="1" width="17.42578125" customWidth="1"/>
    <col min="2" max="2" width="40.140625" style="124"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5" s="134" customFormat="1" ht="48" customHeight="1" thickBot="1" x14ac:dyDescent="0.25">
      <c r="A1" s="713" t="s">
        <v>1130</v>
      </c>
      <c r="B1" s="714"/>
      <c r="C1" s="715"/>
      <c r="D1" s="409"/>
    </row>
    <row r="2" spans="1:5" ht="31.5" x14ac:dyDescent="0.2">
      <c r="A2" s="711" t="s">
        <v>704</v>
      </c>
      <c r="B2" s="712"/>
      <c r="C2" s="487" t="s">
        <v>1173</v>
      </c>
    </row>
    <row r="3" spans="1:5" ht="31.5" x14ac:dyDescent="0.2">
      <c r="A3" s="335" t="s">
        <v>311</v>
      </c>
      <c r="B3" s="269" t="s">
        <v>763</v>
      </c>
      <c r="C3" s="408" t="s">
        <v>399</v>
      </c>
    </row>
    <row r="4" spans="1:5" ht="31.5" x14ac:dyDescent="0.2">
      <c r="A4" s="333" t="s">
        <v>206</v>
      </c>
      <c r="B4" s="269" t="s">
        <v>1131</v>
      </c>
      <c r="C4" s="408" t="s">
        <v>399</v>
      </c>
    </row>
    <row r="5" spans="1:5" ht="47.25" x14ac:dyDescent="0.2">
      <c r="A5" s="471" t="s">
        <v>207</v>
      </c>
      <c r="B5" s="472" t="s">
        <v>764</v>
      </c>
      <c r="C5" s="470" t="s">
        <v>1170</v>
      </c>
      <c r="D5" s="257"/>
    </row>
    <row r="6" spans="1:5" ht="31.5" x14ac:dyDescent="0.2">
      <c r="A6" s="471" t="s">
        <v>208</v>
      </c>
      <c r="B6" s="472" t="s">
        <v>765</v>
      </c>
      <c r="C6" s="470" t="s">
        <v>1163</v>
      </c>
      <c r="D6" s="317"/>
    </row>
    <row r="7" spans="1:5" ht="15.75" x14ac:dyDescent="0.2">
      <c r="A7" s="473" t="s">
        <v>209</v>
      </c>
      <c r="B7" s="474" t="s">
        <v>766</v>
      </c>
      <c r="C7" s="451" t="s">
        <v>1164</v>
      </c>
      <c r="D7" s="257"/>
    </row>
    <row r="8" spans="1:5" ht="15.75" x14ac:dyDescent="0.2">
      <c r="A8" s="333" t="s">
        <v>210</v>
      </c>
      <c r="B8" s="269" t="s">
        <v>767</v>
      </c>
      <c r="C8" s="408" t="s">
        <v>399</v>
      </c>
    </row>
    <row r="9" spans="1:5" ht="15.75" x14ac:dyDescent="0.2">
      <c r="A9" s="333" t="s">
        <v>848</v>
      </c>
      <c r="B9" s="271" t="s">
        <v>849</v>
      </c>
      <c r="C9" s="408" t="s">
        <v>399</v>
      </c>
      <c r="E9" s="367"/>
    </row>
    <row r="10" spans="1:5" ht="15.75" x14ac:dyDescent="0.2">
      <c r="A10" s="258" t="s">
        <v>211</v>
      </c>
      <c r="B10" s="270" t="s">
        <v>705</v>
      </c>
      <c r="C10" s="408" t="s">
        <v>399</v>
      </c>
      <c r="E10" s="367"/>
    </row>
    <row r="11" spans="1:5" ht="15.75" x14ac:dyDescent="0.2">
      <c r="A11" s="333" t="s">
        <v>189</v>
      </c>
      <c r="B11" s="269" t="s">
        <v>369</v>
      </c>
      <c r="C11" s="408" t="s">
        <v>399</v>
      </c>
    </row>
    <row r="12" spans="1:5" ht="15.75" x14ac:dyDescent="0.2">
      <c r="A12" s="335" t="s">
        <v>0</v>
      </c>
      <c r="B12" s="269" t="s">
        <v>370</v>
      </c>
      <c r="C12" s="408" t="s">
        <v>399</v>
      </c>
    </row>
    <row r="13" spans="1:5" ht="15.75" x14ac:dyDescent="0.2">
      <c r="A13" s="258" t="s">
        <v>1</v>
      </c>
      <c r="B13" s="269" t="s">
        <v>371</v>
      </c>
      <c r="C13" s="408" t="s">
        <v>399</v>
      </c>
    </row>
    <row r="14" spans="1:5" ht="31.5" x14ac:dyDescent="0.2">
      <c r="A14" s="335" t="s">
        <v>2</v>
      </c>
      <c r="B14" s="269" t="s">
        <v>372</v>
      </c>
      <c r="C14" s="408" t="s">
        <v>399</v>
      </c>
    </row>
    <row r="15" spans="1:5" ht="31.5" x14ac:dyDescent="0.2">
      <c r="A15" s="335" t="s">
        <v>3</v>
      </c>
      <c r="B15" s="269" t="s">
        <v>687</v>
      </c>
      <c r="C15" s="470" t="s">
        <v>1176</v>
      </c>
    </row>
    <row r="16" spans="1:5" ht="34.5" customHeight="1" x14ac:dyDescent="0.2">
      <c r="A16" s="335" t="s">
        <v>4</v>
      </c>
      <c r="B16" s="269" t="s">
        <v>83</v>
      </c>
      <c r="C16" s="408" t="s">
        <v>399</v>
      </c>
      <c r="E16" s="257"/>
    </row>
    <row r="17" spans="1:4" ht="15.75" x14ac:dyDescent="0.2">
      <c r="A17" s="335" t="s">
        <v>5</v>
      </c>
      <c r="B17" s="269" t="s">
        <v>84</v>
      </c>
      <c r="C17" s="408" t="s">
        <v>399</v>
      </c>
    </row>
    <row r="18" spans="1:4" ht="15.75" x14ac:dyDescent="0.2">
      <c r="A18" s="335" t="s">
        <v>70</v>
      </c>
      <c r="B18" s="269" t="s">
        <v>85</v>
      </c>
      <c r="C18" s="408" t="s">
        <v>399</v>
      </c>
    </row>
    <row r="19" spans="1:4" ht="31.5" x14ac:dyDescent="0.2">
      <c r="A19" s="335" t="s">
        <v>6</v>
      </c>
      <c r="B19" s="269" t="s">
        <v>86</v>
      </c>
      <c r="C19" s="408" t="s">
        <v>399</v>
      </c>
    </row>
    <row r="20" spans="1:4" ht="31.5" x14ac:dyDescent="0.2">
      <c r="A20" s="471" t="s">
        <v>7</v>
      </c>
      <c r="B20" s="472" t="s">
        <v>688</v>
      </c>
      <c r="C20" s="470" t="s">
        <v>1165</v>
      </c>
    </row>
    <row r="21" spans="1:4" ht="15.75" x14ac:dyDescent="0.2">
      <c r="A21" s="335" t="s">
        <v>8</v>
      </c>
      <c r="B21" s="269" t="s">
        <v>689</v>
      </c>
      <c r="C21" s="408" t="s">
        <v>399</v>
      </c>
    </row>
    <row r="22" spans="1:4" ht="31.5" x14ac:dyDescent="0.2">
      <c r="A22" s="335" t="s">
        <v>9</v>
      </c>
      <c r="B22" s="269" t="s">
        <v>690</v>
      </c>
      <c r="C22" s="408" t="s">
        <v>399</v>
      </c>
      <c r="D22" s="205"/>
    </row>
    <row r="23" spans="1:4" ht="36.75" customHeight="1" x14ac:dyDescent="0.2">
      <c r="A23" s="335" t="s">
        <v>534</v>
      </c>
      <c r="B23" s="269" t="s">
        <v>1132</v>
      </c>
      <c r="C23" s="408" t="s">
        <v>399</v>
      </c>
      <c r="D23" s="205"/>
    </row>
    <row r="24" spans="1:4" ht="39" customHeight="1" x14ac:dyDescent="0.2">
      <c r="A24" s="335" t="s">
        <v>535</v>
      </c>
      <c r="B24" s="269" t="s">
        <v>1133</v>
      </c>
      <c r="C24" s="408" t="s">
        <v>399</v>
      </c>
      <c r="D24" s="205"/>
    </row>
    <row r="25" spans="1:4" x14ac:dyDescent="0.2">
      <c r="D25" s="205"/>
    </row>
    <row r="26" spans="1:4" x14ac:dyDescent="0.2">
      <c r="D26" s="205"/>
    </row>
  </sheetData>
  <mergeCells count="2">
    <mergeCell ref="A2:B2"/>
    <mergeCell ref="A1:C1"/>
  </mergeCells>
  <phoneticPr fontId="6"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J22"/>
  <sheetViews>
    <sheetView zoomScaleNormal="100" workbookViewId="0">
      <pane xSplit="2" ySplit="4" topLeftCell="C20" activePane="bottomRight" state="frozen"/>
      <selection pane="topRight" activeCell="C1" sqref="C1"/>
      <selection pane="bottomLeft" activeCell="A5" sqref="A5"/>
      <selection pane="bottomRight" activeCell="B37" sqref="B37"/>
    </sheetView>
  </sheetViews>
  <sheetFormatPr defaultColWidth="9.140625" defaultRowHeight="15.75" x14ac:dyDescent="0.2"/>
  <cols>
    <col min="1" max="1" width="10.5703125" style="12" customWidth="1"/>
    <col min="2" max="2" width="43.140625" style="70" customWidth="1"/>
    <col min="3" max="3" width="28.42578125" style="11" customWidth="1"/>
    <col min="4" max="4" width="52.7109375" style="11" customWidth="1"/>
    <col min="5" max="5" width="9.140625" style="11"/>
    <col min="6" max="6" width="10.7109375" style="11" customWidth="1"/>
    <col min="7" max="16384" width="9.140625" style="11"/>
  </cols>
  <sheetData>
    <row r="1" spans="1:10" ht="50.1" customHeight="1" thickBot="1" x14ac:dyDescent="0.25">
      <c r="A1" s="875" t="s">
        <v>1116</v>
      </c>
      <c r="B1" s="876"/>
      <c r="C1" s="876"/>
      <c r="D1" s="877"/>
    </row>
    <row r="2" spans="1:10" ht="35.1" customHeight="1" x14ac:dyDescent="0.2">
      <c r="A2" s="752" t="s">
        <v>1259</v>
      </c>
      <c r="B2" s="753"/>
      <c r="C2" s="753"/>
      <c r="D2" s="754"/>
    </row>
    <row r="3" spans="1:10" ht="31.5" x14ac:dyDescent="0.2">
      <c r="A3" s="105" t="s">
        <v>205</v>
      </c>
      <c r="B3" s="93" t="s">
        <v>296</v>
      </c>
      <c r="C3" s="93" t="s">
        <v>1117</v>
      </c>
      <c r="D3" s="33" t="s">
        <v>772</v>
      </c>
    </row>
    <row r="4" spans="1:10" s="13" customFormat="1" ht="18" customHeight="1" x14ac:dyDescent="0.2">
      <c r="A4" s="101"/>
      <c r="B4" s="104" t="s">
        <v>286</v>
      </c>
      <c r="C4" s="84" t="s">
        <v>287</v>
      </c>
      <c r="D4" s="85" t="s">
        <v>288</v>
      </c>
    </row>
    <row r="5" spans="1:10" s="13" customFormat="1" ht="31.5" x14ac:dyDescent="0.2">
      <c r="A5" s="101">
        <v>1</v>
      </c>
      <c r="B5" s="68" t="s">
        <v>26</v>
      </c>
      <c r="C5" s="61">
        <f>SUM(C6:C19)</f>
        <v>37969390.850000001</v>
      </c>
      <c r="D5" s="67"/>
      <c r="E5" s="702"/>
      <c r="F5" s="703"/>
      <c r="G5" s="702"/>
      <c r="H5" s="702"/>
    </row>
    <row r="6" spans="1:10" ht="114.75" x14ac:dyDescent="0.2">
      <c r="A6" s="101">
        <v>2</v>
      </c>
      <c r="B6" s="60" t="s">
        <v>191</v>
      </c>
      <c r="C6" s="560">
        <v>0</v>
      </c>
      <c r="D6" s="618" t="s">
        <v>1206</v>
      </c>
    </row>
    <row r="7" spans="1:10" ht="114.75" x14ac:dyDescent="0.2">
      <c r="A7" s="101">
        <v>3</v>
      </c>
      <c r="B7" s="60" t="s">
        <v>192</v>
      </c>
      <c r="C7" s="560">
        <v>14994117.9</v>
      </c>
      <c r="D7" s="618" t="s">
        <v>1207</v>
      </c>
    </row>
    <row r="8" spans="1:10" x14ac:dyDescent="0.2">
      <c r="A8" s="101">
        <v>4</v>
      </c>
      <c r="B8" s="107" t="s">
        <v>193</v>
      </c>
      <c r="C8" s="560">
        <f>E8+F8+G8+H8+I8+J8+K8+L8+M8</f>
        <v>0</v>
      </c>
      <c r="D8" s="618" t="s">
        <v>1208</v>
      </c>
    </row>
    <row r="9" spans="1:10" ht="127.5" x14ac:dyDescent="0.2">
      <c r="A9" s="101">
        <v>5</v>
      </c>
      <c r="B9" s="107" t="s">
        <v>165</v>
      </c>
      <c r="C9" s="560">
        <v>7822550.1699999999</v>
      </c>
      <c r="D9" s="618" t="s">
        <v>1209</v>
      </c>
    </row>
    <row r="10" spans="1:10" ht="25.5" x14ac:dyDescent="0.2">
      <c r="A10" s="101">
        <v>6</v>
      </c>
      <c r="B10" s="107" t="s">
        <v>276</v>
      </c>
      <c r="C10" s="560">
        <v>1681300.42</v>
      </c>
      <c r="D10" s="618" t="s">
        <v>1210</v>
      </c>
    </row>
    <row r="11" spans="1:10" ht="25.5" x14ac:dyDescent="0.2">
      <c r="A11" s="101">
        <v>7</v>
      </c>
      <c r="B11" s="107" t="s">
        <v>277</v>
      </c>
      <c r="C11" s="560">
        <v>160451.56</v>
      </c>
      <c r="D11" s="618" t="s">
        <v>1211</v>
      </c>
    </row>
    <row r="12" spans="1:10" ht="382.5" x14ac:dyDescent="0.2">
      <c r="A12" s="101">
        <v>8</v>
      </c>
      <c r="B12" s="107" t="s">
        <v>397</v>
      </c>
      <c r="C12" s="560">
        <v>4014627.06</v>
      </c>
      <c r="D12" s="619" t="s">
        <v>1218</v>
      </c>
    </row>
    <row r="13" spans="1:10" x14ac:dyDescent="0.2">
      <c r="A13" s="101">
        <v>9</v>
      </c>
      <c r="B13" s="107" t="s">
        <v>166</v>
      </c>
      <c r="C13" s="560">
        <f>E13+F13+G13+H13+I13+J13+K13+L13+M13</f>
        <v>0</v>
      </c>
      <c r="D13" s="119"/>
    </row>
    <row r="14" spans="1:10" x14ac:dyDescent="0.2">
      <c r="A14" s="101">
        <v>10</v>
      </c>
      <c r="B14" s="107" t="s">
        <v>167</v>
      </c>
      <c r="C14" s="560">
        <v>39874.31</v>
      </c>
      <c r="D14" s="618" t="s">
        <v>1217</v>
      </c>
    </row>
    <row r="15" spans="1:10" ht="140.25" x14ac:dyDescent="0.2">
      <c r="A15" s="101">
        <v>11</v>
      </c>
      <c r="B15" s="107" t="s">
        <v>168</v>
      </c>
      <c r="C15" s="560">
        <v>4041486.64</v>
      </c>
      <c r="D15" s="618" t="s">
        <v>1212</v>
      </c>
      <c r="F15" s="704"/>
      <c r="G15" s="704"/>
      <c r="H15" s="704"/>
      <c r="I15" s="704"/>
      <c r="J15" s="704"/>
    </row>
    <row r="16" spans="1:10" ht="102" x14ac:dyDescent="0.2">
      <c r="A16" s="101">
        <v>12</v>
      </c>
      <c r="B16" s="107" t="s">
        <v>169</v>
      </c>
      <c r="C16" s="560">
        <v>143202.12</v>
      </c>
      <c r="D16" s="618" t="s">
        <v>1219</v>
      </c>
      <c r="F16" s="704"/>
      <c r="G16" s="704"/>
      <c r="H16" s="704"/>
      <c r="I16" s="704"/>
      <c r="J16" s="704"/>
    </row>
    <row r="17" spans="1:10" ht="63.75" x14ac:dyDescent="0.2">
      <c r="A17" s="101">
        <v>13</v>
      </c>
      <c r="B17" s="107" t="s">
        <v>170</v>
      </c>
      <c r="C17" s="560">
        <v>2425855.64</v>
      </c>
      <c r="D17" s="618" t="s">
        <v>1213</v>
      </c>
      <c r="F17" s="704"/>
      <c r="G17" s="704"/>
      <c r="H17" s="704"/>
      <c r="I17" s="704"/>
      <c r="J17" s="704"/>
    </row>
    <row r="18" spans="1:10" ht="76.5" x14ac:dyDescent="0.2">
      <c r="A18" s="101">
        <v>14</v>
      </c>
      <c r="B18" s="107" t="s">
        <v>171</v>
      </c>
      <c r="C18" s="560">
        <v>200483.71</v>
      </c>
      <c r="D18" s="618" t="s">
        <v>1214</v>
      </c>
      <c r="F18" s="704"/>
      <c r="G18" s="704"/>
      <c r="H18" s="704"/>
      <c r="I18" s="704"/>
      <c r="J18" s="704"/>
    </row>
    <row r="19" spans="1:10" ht="344.25" x14ac:dyDescent="0.2">
      <c r="A19" s="101">
        <v>15</v>
      </c>
      <c r="B19" s="107" t="s">
        <v>176</v>
      </c>
      <c r="C19" s="560">
        <v>2445441.3199999998</v>
      </c>
      <c r="D19" s="618" t="s">
        <v>1220</v>
      </c>
    </row>
    <row r="20" spans="1:10" ht="25.5" x14ac:dyDescent="0.2">
      <c r="A20" s="101">
        <v>16</v>
      </c>
      <c r="B20" s="68" t="s">
        <v>310</v>
      </c>
      <c r="C20" s="560">
        <v>2500</v>
      </c>
      <c r="D20" s="618" t="s">
        <v>1215</v>
      </c>
    </row>
    <row r="21" spans="1:10" x14ac:dyDescent="0.2">
      <c r="A21" s="101">
        <v>17</v>
      </c>
      <c r="B21" s="106" t="s">
        <v>722</v>
      </c>
      <c r="C21" s="560">
        <v>170.52</v>
      </c>
      <c r="D21" s="620" t="s">
        <v>1216</v>
      </c>
    </row>
    <row r="22" spans="1:10" ht="32.25" thickBot="1" x14ac:dyDescent="0.25">
      <c r="A22" s="102">
        <v>18</v>
      </c>
      <c r="B22" s="80" t="s">
        <v>56</v>
      </c>
      <c r="C22" s="385">
        <f>+C5+C20+C21</f>
        <v>37972061.370000005</v>
      </c>
      <c r="D22" s="77"/>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2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4"/>
  <sheetViews>
    <sheetView zoomScaleNormal="100" workbookViewId="0">
      <pane xSplit="2" ySplit="5" topLeftCell="C21" activePane="bottomRight" state="frozen"/>
      <selection pane="topRight" activeCell="C1" sqref="C1"/>
      <selection pane="bottomLeft" activeCell="A6" sqref="A6"/>
      <selection pane="bottomRight" activeCell="C38" sqref="C38"/>
    </sheetView>
  </sheetViews>
  <sheetFormatPr defaultColWidth="9.140625" defaultRowHeight="15.75" x14ac:dyDescent="0.2"/>
  <cols>
    <col min="1" max="1" width="7.7109375" style="19" customWidth="1"/>
    <col min="2" max="2" width="47.5703125" style="20" customWidth="1"/>
    <col min="3" max="3" width="17.85546875" style="21" customWidth="1"/>
    <col min="4" max="4" width="16.85546875" style="21" customWidth="1"/>
    <col min="5" max="5" width="17.140625" style="21" customWidth="1"/>
    <col min="6" max="6" width="18.140625" style="21" customWidth="1"/>
    <col min="7" max="7" width="17.42578125" style="21" customWidth="1"/>
    <col min="8" max="8" width="17" style="21" customWidth="1"/>
    <col min="9" max="16384" width="9.140625" style="21"/>
  </cols>
  <sheetData>
    <row r="1" spans="1:8" s="24" customFormat="1" ht="69" customHeight="1" thickBot="1" x14ac:dyDescent="0.25">
      <c r="A1" s="878" t="s">
        <v>1118</v>
      </c>
      <c r="B1" s="879"/>
      <c r="C1" s="879"/>
      <c r="D1" s="879"/>
      <c r="E1" s="879"/>
      <c r="F1" s="879"/>
      <c r="G1" s="879"/>
      <c r="H1" s="880"/>
    </row>
    <row r="2" spans="1:8" s="24" customFormat="1" ht="35.1" customHeight="1" x14ac:dyDescent="0.2">
      <c r="A2" s="752" t="s">
        <v>1263</v>
      </c>
      <c r="B2" s="753"/>
      <c r="C2" s="753"/>
      <c r="D2" s="753"/>
      <c r="E2" s="753"/>
      <c r="F2" s="753"/>
      <c r="G2" s="753"/>
      <c r="H2" s="754"/>
    </row>
    <row r="3" spans="1:8" ht="27" customHeight="1" x14ac:dyDescent="0.2">
      <c r="A3" s="816" t="s">
        <v>205</v>
      </c>
      <c r="B3" s="745" t="s">
        <v>332</v>
      </c>
      <c r="C3" s="771" t="s">
        <v>304</v>
      </c>
      <c r="D3" s="771"/>
      <c r="E3" s="771" t="s">
        <v>305</v>
      </c>
      <c r="F3" s="771"/>
      <c r="G3" s="881" t="s">
        <v>227</v>
      </c>
      <c r="H3" s="882"/>
    </row>
    <row r="4" spans="1:8" ht="33" customHeight="1" x14ac:dyDescent="0.2">
      <c r="A4" s="743"/>
      <c r="B4" s="781"/>
      <c r="C4" s="14" t="s">
        <v>75</v>
      </c>
      <c r="D4" s="14" t="s">
        <v>194</v>
      </c>
      <c r="E4" s="14" t="s">
        <v>75</v>
      </c>
      <c r="F4" s="14" t="s">
        <v>194</v>
      </c>
      <c r="G4" s="14" t="s">
        <v>75</v>
      </c>
      <c r="H4" s="27" t="s">
        <v>194</v>
      </c>
    </row>
    <row r="5" spans="1:8" ht="21.6" customHeight="1" x14ac:dyDescent="0.2">
      <c r="A5" s="28"/>
      <c r="B5" s="16"/>
      <c r="C5" s="42" t="s">
        <v>286</v>
      </c>
      <c r="D5" s="42" t="s">
        <v>287</v>
      </c>
      <c r="E5" s="42" t="s">
        <v>288</v>
      </c>
      <c r="F5" s="42" t="s">
        <v>295</v>
      </c>
      <c r="G5" s="42" t="s">
        <v>33</v>
      </c>
      <c r="H5" s="260" t="s">
        <v>34</v>
      </c>
    </row>
    <row r="6" spans="1:8" x14ac:dyDescent="0.2">
      <c r="A6" s="261">
        <v>1</v>
      </c>
      <c r="B6" s="213" t="s">
        <v>1014</v>
      </c>
      <c r="C6" s="214">
        <f>C7</f>
        <v>0</v>
      </c>
      <c r="D6" s="214">
        <f>D8</f>
        <v>0</v>
      </c>
      <c r="E6" s="214">
        <f>E7</f>
        <v>0</v>
      </c>
      <c r="F6" s="214">
        <f>F8</f>
        <v>0</v>
      </c>
      <c r="G6" s="214">
        <f>C6+E6</f>
        <v>0</v>
      </c>
      <c r="H6" s="262">
        <f>D6+F6</f>
        <v>0</v>
      </c>
    </row>
    <row r="7" spans="1:8" ht="19.5" customHeight="1" x14ac:dyDescent="0.2">
      <c r="A7" s="261">
        <v>2</v>
      </c>
      <c r="B7" s="286" t="s">
        <v>1015</v>
      </c>
      <c r="C7" s="215"/>
      <c r="D7" s="287" t="s">
        <v>788</v>
      </c>
      <c r="E7" s="215"/>
      <c r="F7" s="287" t="s">
        <v>788</v>
      </c>
      <c r="G7" s="214">
        <f>C7+E7</f>
        <v>0</v>
      </c>
      <c r="H7" s="289" t="s">
        <v>788</v>
      </c>
    </row>
    <row r="8" spans="1:8" ht="19.5" customHeight="1" x14ac:dyDescent="0.2">
      <c r="A8" s="261">
        <f t="shared" ref="A8:A17" si="0">A7+1</f>
        <v>3</v>
      </c>
      <c r="B8" s="286" t="s">
        <v>864</v>
      </c>
      <c r="C8" s="287" t="s">
        <v>788</v>
      </c>
      <c r="D8" s="215"/>
      <c r="E8" s="287" t="s">
        <v>788</v>
      </c>
      <c r="F8" s="215"/>
      <c r="G8" s="288" t="s">
        <v>788</v>
      </c>
      <c r="H8" s="262">
        <f>D8+F8</f>
        <v>0</v>
      </c>
    </row>
    <row r="9" spans="1:8" ht="19.5" customHeight="1" x14ac:dyDescent="0.2">
      <c r="A9" s="261">
        <f t="shared" si="0"/>
        <v>4</v>
      </c>
      <c r="B9" s="213" t="s">
        <v>865</v>
      </c>
      <c r="C9" s="527">
        <f>SUM(C10:C11)</f>
        <v>0</v>
      </c>
      <c r="D9" s="527">
        <f>SUM(D10:D11)</f>
        <v>0</v>
      </c>
      <c r="E9" s="527">
        <f>SUM(E10:E11)</f>
        <v>0</v>
      </c>
      <c r="F9" s="527">
        <f>SUM(F10:F11)</f>
        <v>0</v>
      </c>
      <c r="G9" s="527">
        <f>C9+E9</f>
        <v>0</v>
      </c>
      <c r="H9" s="528">
        <f>D9+F9</f>
        <v>0</v>
      </c>
    </row>
    <row r="10" spans="1:8" ht="19.5" customHeight="1" x14ac:dyDescent="0.2">
      <c r="A10" s="261">
        <f t="shared" si="0"/>
        <v>5</v>
      </c>
      <c r="B10" s="286" t="s">
        <v>866</v>
      </c>
      <c r="C10" s="529"/>
      <c r="D10" s="530" t="s">
        <v>788</v>
      </c>
      <c r="E10" s="529"/>
      <c r="F10" s="530" t="s">
        <v>788</v>
      </c>
      <c r="G10" s="527">
        <f>C10+E10</f>
        <v>0</v>
      </c>
      <c r="H10" s="531" t="s">
        <v>788</v>
      </c>
    </row>
    <row r="11" spans="1:8" ht="19.5" customHeight="1" x14ac:dyDescent="0.2">
      <c r="A11" s="261">
        <f t="shared" si="0"/>
        <v>6</v>
      </c>
      <c r="B11" s="286" t="s">
        <v>867</v>
      </c>
      <c r="C11" s="530" t="s">
        <v>788</v>
      </c>
      <c r="D11" s="529"/>
      <c r="E11" s="530" t="s">
        <v>788</v>
      </c>
      <c r="F11" s="529"/>
      <c r="G11" s="532" t="s">
        <v>788</v>
      </c>
      <c r="H11" s="528">
        <f>D11+F11</f>
        <v>0</v>
      </c>
    </row>
    <row r="12" spans="1:8" x14ac:dyDescent="0.2">
      <c r="A12" s="261">
        <v>7</v>
      </c>
      <c r="B12" s="440" t="s">
        <v>1016</v>
      </c>
      <c r="C12" s="527">
        <f>SUM(C13:C14)</f>
        <v>23898.1</v>
      </c>
      <c r="D12" s="527">
        <f>SUM(D13:D14)</f>
        <v>21508.29</v>
      </c>
      <c r="E12" s="527">
        <f>SUM(E13:E14)</f>
        <v>43271.29</v>
      </c>
      <c r="F12" s="527">
        <f>SUM(F13:F14)</f>
        <v>38944.160000000003</v>
      </c>
      <c r="G12" s="527">
        <f>C12+E12</f>
        <v>67169.39</v>
      </c>
      <c r="H12" s="528">
        <f>D12+F12</f>
        <v>60452.450000000004</v>
      </c>
    </row>
    <row r="13" spans="1:8" ht="26.25" customHeight="1" x14ac:dyDescent="0.2">
      <c r="A13" s="261">
        <v>8</v>
      </c>
      <c r="B13" s="441" t="s">
        <v>1023</v>
      </c>
      <c r="C13" s="530">
        <v>23898.1</v>
      </c>
      <c r="D13" s="530" t="s">
        <v>788</v>
      </c>
      <c r="E13" s="530">
        <v>43271.29</v>
      </c>
      <c r="F13" s="530" t="s">
        <v>788</v>
      </c>
      <c r="G13" s="527">
        <f>C13+E13</f>
        <v>67169.39</v>
      </c>
      <c r="H13" s="531" t="s">
        <v>788</v>
      </c>
    </row>
    <row r="14" spans="1:8" ht="24" customHeight="1" x14ac:dyDescent="0.2">
      <c r="A14" s="261">
        <v>9</v>
      </c>
      <c r="B14" s="441" t="s">
        <v>1024</v>
      </c>
      <c r="C14" s="530" t="s">
        <v>788</v>
      </c>
      <c r="D14" s="529">
        <v>21508.29</v>
      </c>
      <c r="E14" s="530" t="s">
        <v>788</v>
      </c>
      <c r="F14" s="529">
        <v>38944.160000000003</v>
      </c>
      <c r="G14" s="532" t="s">
        <v>788</v>
      </c>
      <c r="H14" s="528">
        <f>D14+F14</f>
        <v>60452.450000000004</v>
      </c>
    </row>
    <row r="15" spans="1:8" ht="34.5" customHeight="1" x14ac:dyDescent="0.2">
      <c r="A15" s="261">
        <v>10</v>
      </c>
      <c r="B15" s="213" t="s">
        <v>1017</v>
      </c>
      <c r="C15" s="527">
        <f>C6+C9+C12</f>
        <v>23898.1</v>
      </c>
      <c r="D15" s="527">
        <f>D6+D9+D12</f>
        <v>21508.29</v>
      </c>
      <c r="E15" s="527">
        <f>E6+E9+E12</f>
        <v>43271.29</v>
      </c>
      <c r="F15" s="527">
        <f>F6+F9+F12</f>
        <v>38944.160000000003</v>
      </c>
      <c r="G15" s="527">
        <f>G6+G9</f>
        <v>0</v>
      </c>
      <c r="H15" s="528">
        <f>H6+H9</f>
        <v>0</v>
      </c>
    </row>
    <row r="16" spans="1:8" ht="35.25" customHeight="1" x14ac:dyDescent="0.2">
      <c r="A16" s="261">
        <v>11</v>
      </c>
      <c r="B16" s="213" t="s">
        <v>1018</v>
      </c>
      <c r="C16" s="527">
        <f>C17+SUM(C20:C25)</f>
        <v>0</v>
      </c>
      <c r="D16" s="527">
        <f>D17+SUM(D20:D25)</f>
        <v>0</v>
      </c>
      <c r="E16" s="527">
        <f>E17+SUM(E20:E25)</f>
        <v>0</v>
      </c>
      <c r="F16" s="527">
        <f>F17+SUM(F20:F25)</f>
        <v>0</v>
      </c>
      <c r="G16" s="527">
        <f>C16+E16</f>
        <v>0</v>
      </c>
      <c r="H16" s="528">
        <f>D16+F16</f>
        <v>0</v>
      </c>
    </row>
    <row r="17" spans="1:10" x14ac:dyDescent="0.2">
      <c r="A17" s="261">
        <f t="shared" si="0"/>
        <v>12</v>
      </c>
      <c r="B17" s="213" t="s">
        <v>1019</v>
      </c>
      <c r="C17" s="527">
        <f>SUM(C18:C19)</f>
        <v>0</v>
      </c>
      <c r="D17" s="527">
        <f>SUM(D18:D19)</f>
        <v>0</v>
      </c>
      <c r="E17" s="527">
        <f>SUM(E18:E19)</f>
        <v>0</v>
      </c>
      <c r="F17" s="527">
        <f>SUM(F18:F19)</f>
        <v>0</v>
      </c>
      <c r="G17" s="527">
        <f>C17+E17</f>
        <v>0</v>
      </c>
      <c r="H17" s="528">
        <f>D17+F17</f>
        <v>0</v>
      </c>
    </row>
    <row r="18" spans="1:10" x14ac:dyDescent="0.2">
      <c r="A18" s="261">
        <v>13</v>
      </c>
      <c r="B18" s="216" t="s">
        <v>1020</v>
      </c>
      <c r="C18" s="530"/>
      <c r="D18" s="530" t="s">
        <v>788</v>
      </c>
      <c r="E18" s="530"/>
      <c r="F18" s="530" t="s">
        <v>788</v>
      </c>
      <c r="G18" s="527">
        <f>C18+E18</f>
        <v>0</v>
      </c>
      <c r="H18" s="531" t="s">
        <v>788</v>
      </c>
    </row>
    <row r="19" spans="1:10" x14ac:dyDescent="0.2">
      <c r="A19" s="261">
        <v>14</v>
      </c>
      <c r="B19" s="216" t="s">
        <v>1021</v>
      </c>
      <c r="C19" s="530" t="s">
        <v>788</v>
      </c>
      <c r="D19" s="529"/>
      <c r="E19" s="530" t="s">
        <v>788</v>
      </c>
      <c r="F19" s="529"/>
      <c r="G19" s="532" t="s">
        <v>788</v>
      </c>
      <c r="H19" s="528">
        <f>D19+F19</f>
        <v>0</v>
      </c>
    </row>
    <row r="20" spans="1:10" x14ac:dyDescent="0.2">
      <c r="A20" s="261">
        <v>15</v>
      </c>
      <c r="B20" s="216"/>
      <c r="C20" s="533"/>
      <c r="D20" s="533"/>
      <c r="E20" s="533"/>
      <c r="F20" s="533"/>
      <c r="G20" s="527">
        <f t="shared" ref="G20:H25" si="1">C20+E20</f>
        <v>0</v>
      </c>
      <c r="H20" s="528">
        <f t="shared" si="1"/>
        <v>0</v>
      </c>
    </row>
    <row r="21" spans="1:10" x14ac:dyDescent="0.2">
      <c r="A21" s="442" t="s">
        <v>281</v>
      </c>
      <c r="B21" s="216"/>
      <c r="C21" s="533"/>
      <c r="D21" s="533"/>
      <c r="E21" s="533"/>
      <c r="F21" s="533"/>
      <c r="G21" s="527">
        <f t="shared" si="1"/>
        <v>0</v>
      </c>
      <c r="H21" s="528">
        <f t="shared" si="1"/>
        <v>0</v>
      </c>
    </row>
    <row r="22" spans="1:10" x14ac:dyDescent="0.2">
      <c r="A22" s="442"/>
      <c r="B22" s="216"/>
      <c r="C22" s="533"/>
      <c r="D22" s="533"/>
      <c r="E22" s="533"/>
      <c r="F22" s="533"/>
      <c r="G22" s="527">
        <f t="shared" si="1"/>
        <v>0</v>
      </c>
      <c r="H22" s="528">
        <f t="shared" si="1"/>
        <v>0</v>
      </c>
    </row>
    <row r="23" spans="1:10" x14ac:dyDescent="0.2">
      <c r="A23" s="442"/>
      <c r="B23" s="216"/>
      <c r="C23" s="533"/>
      <c r="D23" s="533"/>
      <c r="E23" s="533"/>
      <c r="F23" s="533"/>
      <c r="G23" s="527">
        <f t="shared" si="1"/>
        <v>0</v>
      </c>
      <c r="H23" s="528">
        <f t="shared" si="1"/>
        <v>0</v>
      </c>
    </row>
    <row r="24" spans="1:10" x14ac:dyDescent="0.2">
      <c r="A24" s="442"/>
      <c r="B24" s="216"/>
      <c r="C24" s="533"/>
      <c r="D24" s="533"/>
      <c r="E24" s="533"/>
      <c r="F24" s="533"/>
      <c r="G24" s="527">
        <f t="shared" si="1"/>
        <v>0</v>
      </c>
      <c r="H24" s="528">
        <f t="shared" si="1"/>
        <v>0</v>
      </c>
    </row>
    <row r="25" spans="1:10" x14ac:dyDescent="0.2">
      <c r="A25" s="442"/>
      <c r="B25" s="216"/>
      <c r="C25" s="533"/>
      <c r="D25" s="533"/>
      <c r="E25" s="533"/>
      <c r="F25" s="533"/>
      <c r="G25" s="527">
        <f t="shared" si="1"/>
        <v>0</v>
      </c>
      <c r="H25" s="528">
        <f t="shared" si="1"/>
        <v>0</v>
      </c>
    </row>
    <row r="26" spans="1:10" ht="16.5" thickBot="1" x14ac:dyDescent="0.25">
      <c r="A26" s="263">
        <v>16</v>
      </c>
      <c r="B26" s="281" t="s">
        <v>1022</v>
      </c>
      <c r="C26" s="534">
        <f>C15+C16</f>
        <v>23898.1</v>
      </c>
      <c r="D26" s="534">
        <f>D15+D16</f>
        <v>21508.29</v>
      </c>
      <c r="E26" s="534">
        <f>E15+E16</f>
        <v>43271.29</v>
      </c>
      <c r="F26" s="534">
        <f>F15+F16</f>
        <v>38944.160000000003</v>
      </c>
      <c r="G26" s="535">
        <f>C26+E26</f>
        <v>67169.39</v>
      </c>
      <c r="H26" s="536">
        <f>D26+F26</f>
        <v>60452.450000000004</v>
      </c>
    </row>
    <row r="27" spans="1:10" x14ac:dyDescent="0.2">
      <c r="C27" s="491"/>
      <c r="D27" s="490"/>
      <c r="E27" s="491"/>
      <c r="F27" s="490"/>
      <c r="G27" s="491"/>
      <c r="H27" s="490"/>
    </row>
    <row r="30" spans="1:10" x14ac:dyDescent="0.2">
      <c r="G30" s="492"/>
      <c r="H30" s="492"/>
      <c r="I30" s="492"/>
      <c r="J30" s="492"/>
    </row>
    <row r="31" spans="1:10" x14ac:dyDescent="0.2">
      <c r="E31" s="76"/>
      <c r="F31" s="494"/>
      <c r="G31" s="495"/>
      <c r="H31" s="493"/>
      <c r="I31" s="492"/>
      <c r="J31" s="492"/>
    </row>
    <row r="32" spans="1:10" x14ac:dyDescent="0.2">
      <c r="G32" s="492"/>
      <c r="H32" s="492"/>
      <c r="I32" s="492"/>
      <c r="J32" s="492"/>
    </row>
    <row r="33" spans="5:10" x14ac:dyDescent="0.2">
      <c r="E33" s="76"/>
      <c r="G33" s="492"/>
      <c r="H33" s="496"/>
      <c r="I33" s="492"/>
      <c r="J33" s="492"/>
    </row>
    <row r="34" spans="5:10" x14ac:dyDescent="0.2">
      <c r="G34" s="492"/>
      <c r="H34" s="492"/>
      <c r="I34" s="492"/>
      <c r="J34" s="492"/>
    </row>
    <row r="35" spans="5:10" x14ac:dyDescent="0.2">
      <c r="G35" s="492"/>
      <c r="H35" s="492"/>
      <c r="I35" s="492"/>
      <c r="J35" s="492"/>
    </row>
    <row r="36" spans="5:10" x14ac:dyDescent="0.2">
      <c r="G36" s="492"/>
      <c r="H36" s="492"/>
      <c r="I36" s="492"/>
      <c r="J36" s="492"/>
    </row>
    <row r="37" spans="5:10" x14ac:dyDescent="0.2">
      <c r="G37" s="492"/>
      <c r="H37" s="492"/>
      <c r="I37" s="492"/>
      <c r="J37" s="492"/>
    </row>
    <row r="38" spans="5:10" x14ac:dyDescent="0.2">
      <c r="G38" s="492"/>
      <c r="H38" s="492"/>
      <c r="I38" s="492"/>
      <c r="J38" s="492"/>
    </row>
    <row r="39" spans="5:10" x14ac:dyDescent="0.2">
      <c r="G39" s="492"/>
      <c r="H39" s="492"/>
      <c r="I39" s="492"/>
      <c r="J39" s="492"/>
    </row>
    <row r="40" spans="5:10" x14ac:dyDescent="0.2">
      <c r="G40" s="492"/>
      <c r="H40" s="492"/>
      <c r="I40" s="492"/>
      <c r="J40" s="492"/>
    </row>
    <row r="41" spans="5:10" x14ac:dyDescent="0.2">
      <c r="G41" s="492"/>
      <c r="H41" s="492"/>
      <c r="I41" s="492"/>
      <c r="J41" s="492"/>
    </row>
    <row r="42" spans="5:10" x14ac:dyDescent="0.2">
      <c r="G42" s="492"/>
      <c r="H42" s="492"/>
      <c r="I42" s="492"/>
      <c r="J42" s="492"/>
    </row>
    <row r="43" spans="5:10" x14ac:dyDescent="0.2">
      <c r="G43" s="492"/>
      <c r="H43" s="492"/>
      <c r="I43" s="492"/>
      <c r="J43" s="492"/>
    </row>
    <row r="44" spans="5:10" x14ac:dyDescent="0.2">
      <c r="G44" s="492"/>
      <c r="H44" s="492"/>
      <c r="I44" s="492"/>
      <c r="J44" s="492"/>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D21" sqref="D21"/>
    </sheetView>
  </sheetViews>
  <sheetFormatPr defaultColWidth="9.140625" defaultRowHeight="15.75" x14ac:dyDescent="0.25"/>
  <cols>
    <col min="1" max="1" width="9.5703125" style="3" customWidth="1"/>
    <col min="2" max="2" width="58.42578125" style="1" customWidth="1"/>
    <col min="3" max="3" width="22.140625" style="18" customWidth="1"/>
    <col min="4" max="4" width="21.140625" style="18" customWidth="1"/>
    <col min="5" max="5" width="24.140625" style="18" customWidth="1"/>
    <col min="6" max="16384" width="9.140625" style="1"/>
  </cols>
  <sheetData>
    <row r="1" spans="1:9" ht="80.25" customHeight="1" thickBot="1" x14ac:dyDescent="0.3">
      <c r="A1" s="875" t="s">
        <v>1119</v>
      </c>
      <c r="B1" s="876"/>
      <c r="C1" s="876"/>
      <c r="D1" s="876"/>
      <c r="E1" s="877"/>
      <c r="F1" s="7"/>
      <c r="G1" s="7"/>
    </row>
    <row r="2" spans="1:9" ht="35.1" customHeight="1" x14ac:dyDescent="0.25">
      <c r="A2" s="725" t="s">
        <v>1262</v>
      </c>
      <c r="B2" s="726"/>
      <c r="C2" s="726"/>
      <c r="D2" s="726"/>
      <c r="E2" s="727"/>
      <c r="F2" s="7"/>
      <c r="G2" s="7"/>
    </row>
    <row r="3" spans="1:9" s="10" customFormat="1" ht="46.9" customHeight="1" x14ac:dyDescent="0.25">
      <c r="A3" s="327" t="s">
        <v>205</v>
      </c>
      <c r="B3" s="329" t="s">
        <v>332</v>
      </c>
      <c r="C3" s="329" t="s">
        <v>304</v>
      </c>
      <c r="D3" s="329" t="s">
        <v>305</v>
      </c>
      <c r="E3" s="330" t="s">
        <v>213</v>
      </c>
    </row>
    <row r="4" spans="1:9" s="10" customFormat="1" ht="16.5" customHeight="1" x14ac:dyDescent="0.25">
      <c r="A4" s="327"/>
      <c r="B4" s="329"/>
      <c r="C4" s="329" t="s">
        <v>286</v>
      </c>
      <c r="D4" s="329" t="s">
        <v>287</v>
      </c>
      <c r="E4" s="330" t="s">
        <v>30</v>
      </c>
    </row>
    <row r="5" spans="1:9" s="10" customFormat="1" ht="17.45" customHeight="1" x14ac:dyDescent="0.25">
      <c r="A5" s="327"/>
      <c r="B5" s="159" t="s">
        <v>373</v>
      </c>
      <c r="C5" s="66"/>
      <c r="D5" s="66"/>
      <c r="E5" s="127"/>
    </row>
    <row r="6" spans="1:9" s="10" customFormat="1" ht="17.45" customHeight="1" x14ac:dyDescent="0.25">
      <c r="A6" s="126">
        <v>1</v>
      </c>
      <c r="B6" s="103" t="s">
        <v>404</v>
      </c>
      <c r="C6" s="497">
        <f>SUM(C7:C10)</f>
        <v>4841797.5</v>
      </c>
      <c r="D6" s="49">
        <f>SUM(D7:D10)</f>
        <v>0</v>
      </c>
      <c r="E6" s="50">
        <f>C6+D6</f>
        <v>4841797.5</v>
      </c>
    </row>
    <row r="7" spans="1:9" s="18" customFormat="1" x14ac:dyDescent="0.2">
      <c r="A7" s="29">
        <f>A6+1</f>
        <v>2</v>
      </c>
      <c r="B7" s="123" t="s">
        <v>136</v>
      </c>
      <c r="C7" s="498">
        <v>4515596.5</v>
      </c>
      <c r="D7" s="140">
        <v>0</v>
      </c>
      <c r="E7" s="50">
        <f>C7+D7</f>
        <v>4515596.5</v>
      </c>
    </row>
    <row r="8" spans="1:9" s="18" customFormat="1" x14ac:dyDescent="0.2">
      <c r="A8" s="29">
        <f>A7+1</f>
        <v>3</v>
      </c>
      <c r="B8" s="123" t="s">
        <v>401</v>
      </c>
      <c r="C8" s="498">
        <v>326201</v>
      </c>
      <c r="D8" s="51">
        <v>0</v>
      </c>
      <c r="E8" s="50">
        <f t="shared" ref="E8:E16" si="0">C8+D8</f>
        <v>326201</v>
      </c>
      <c r="G8" s="332"/>
    </row>
    <row r="9" spans="1:9" s="18" customFormat="1" x14ac:dyDescent="0.2">
      <c r="A9" s="29">
        <f>A8+1</f>
        <v>4</v>
      </c>
      <c r="B9" s="123"/>
      <c r="C9" s="498"/>
      <c r="D9" s="51"/>
      <c r="E9" s="50"/>
    </row>
    <row r="10" spans="1:9" s="18" customFormat="1" x14ac:dyDescent="0.2">
      <c r="A10" s="29">
        <f>A9+1</f>
        <v>5</v>
      </c>
      <c r="B10" s="123"/>
      <c r="C10" s="498"/>
      <c r="D10" s="51"/>
      <c r="E10" s="50">
        <f t="shared" si="0"/>
        <v>0</v>
      </c>
    </row>
    <row r="11" spans="1:9" s="18" customFormat="1" x14ac:dyDescent="0.2">
      <c r="A11" s="41"/>
      <c r="B11" s="159" t="s">
        <v>721</v>
      </c>
      <c r="C11" s="499"/>
      <c r="D11" s="66"/>
      <c r="E11" s="127"/>
    </row>
    <row r="12" spans="1:9" x14ac:dyDescent="0.25">
      <c r="A12" s="41">
        <v>6</v>
      </c>
      <c r="B12" s="123" t="s">
        <v>16</v>
      </c>
      <c r="C12" s="500">
        <v>10194.9</v>
      </c>
      <c r="D12" s="142">
        <v>0</v>
      </c>
      <c r="E12" s="50">
        <f t="shared" si="0"/>
        <v>10194.9</v>
      </c>
    </row>
    <row r="13" spans="1:9" x14ac:dyDescent="0.25">
      <c r="A13" s="41">
        <v>7</v>
      </c>
      <c r="B13" s="123" t="s">
        <v>17</v>
      </c>
      <c r="C13" s="498">
        <v>382335</v>
      </c>
      <c r="D13" s="51">
        <v>0</v>
      </c>
      <c r="E13" s="50">
        <f t="shared" si="0"/>
        <v>382335</v>
      </c>
    </row>
    <row r="14" spans="1:9" s="43" customFormat="1" x14ac:dyDescent="0.25">
      <c r="A14" s="41"/>
      <c r="B14" s="79"/>
      <c r="C14" s="501"/>
      <c r="D14" s="153"/>
      <c r="E14" s="127"/>
    </row>
    <row r="15" spans="1:9" x14ac:dyDescent="0.25">
      <c r="A15" s="41">
        <v>8</v>
      </c>
      <c r="B15" s="79" t="s">
        <v>405</v>
      </c>
      <c r="C15" s="502">
        <f>SUM(C16:C17)</f>
        <v>0</v>
      </c>
      <c r="D15" s="143">
        <f>SUM(D16:D17)</f>
        <v>0</v>
      </c>
      <c r="E15" s="50">
        <f t="shared" si="0"/>
        <v>0</v>
      </c>
    </row>
    <row r="16" spans="1:9" ht="31.5" x14ac:dyDescent="0.25">
      <c r="A16" s="41" t="s">
        <v>403</v>
      </c>
      <c r="B16" s="302" t="s">
        <v>812</v>
      </c>
      <c r="C16" s="500"/>
      <c r="D16" s="142"/>
      <c r="E16" s="50">
        <f t="shared" si="0"/>
        <v>0</v>
      </c>
      <c r="I16" s="331"/>
    </row>
    <row r="17" spans="1:5" x14ac:dyDescent="0.25">
      <c r="A17" s="41"/>
      <c r="B17" s="79"/>
      <c r="C17" s="501"/>
      <c r="D17" s="153"/>
      <c r="E17" s="127"/>
    </row>
    <row r="18" spans="1:5" ht="16.5" thickBot="1" x14ac:dyDescent="0.3">
      <c r="A18" s="130">
        <v>9</v>
      </c>
      <c r="B18" s="131" t="s">
        <v>691</v>
      </c>
      <c r="C18" s="385">
        <f>C6+C12+C13+C15</f>
        <v>5234327.4000000004</v>
      </c>
      <c r="D18" s="62">
        <f>D6+D12+D13+D15</f>
        <v>0</v>
      </c>
      <c r="E18" s="141">
        <f>E6+E12+E13+E15</f>
        <v>5234327.4000000004</v>
      </c>
    </row>
    <row r="19" spans="1:5" x14ac:dyDescent="0.25">
      <c r="E19" s="21"/>
    </row>
    <row r="21" spans="1:5" x14ac:dyDescent="0.25">
      <c r="B21" s="207"/>
      <c r="C21" s="3"/>
    </row>
    <row r="22" spans="1:5" x14ac:dyDescent="0.25">
      <c r="B22" s="3"/>
      <c r="C22" s="3"/>
    </row>
    <row r="23" spans="1:5" x14ac:dyDescent="0.25">
      <c r="B23" s="3"/>
      <c r="C23" s="3"/>
    </row>
    <row r="24" spans="1:5" x14ac:dyDescent="0.25">
      <c r="D24" s="332"/>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9"/>
  <sheetViews>
    <sheetView zoomScale="85" zoomScaleNormal="85" workbookViewId="0">
      <pane xSplit="2" ySplit="5" topLeftCell="C18" activePane="bottomRight" state="frozen"/>
      <selection pane="topRight" activeCell="C1" sqref="C1"/>
      <selection pane="bottomLeft" activeCell="A6" sqref="A6"/>
      <selection pane="bottomRight" activeCell="D40" sqref="D40"/>
    </sheetView>
  </sheetViews>
  <sheetFormatPr defaultColWidth="9.140625" defaultRowHeight="15.75" x14ac:dyDescent="0.2"/>
  <cols>
    <col min="1" max="1" width="9.140625" style="18"/>
    <col min="2" max="2" width="75.42578125" style="71" customWidth="1"/>
    <col min="3" max="6" width="17.28515625" style="18" customWidth="1"/>
    <col min="7" max="7" width="18.7109375" style="18" customWidth="1"/>
    <col min="8" max="10" width="11.7109375" style="18" bestFit="1" customWidth="1"/>
    <col min="11" max="11" width="10.5703125" style="18" bestFit="1" customWidth="1"/>
    <col min="12" max="12" width="13.5703125" style="18" bestFit="1" customWidth="1"/>
    <col min="13" max="16384" width="9.140625" style="18"/>
  </cols>
  <sheetData>
    <row r="1" spans="1:7" ht="35.1" customHeight="1" thickBot="1" x14ac:dyDescent="0.25">
      <c r="A1" s="722" t="s">
        <v>1120</v>
      </c>
      <c r="B1" s="890"/>
      <c r="C1" s="890"/>
      <c r="D1" s="890"/>
      <c r="E1" s="890"/>
      <c r="F1" s="891"/>
    </row>
    <row r="2" spans="1:7" ht="35.1" customHeight="1" x14ac:dyDescent="0.2">
      <c r="A2" s="752" t="s">
        <v>1264</v>
      </c>
      <c r="B2" s="817"/>
      <c r="C2" s="818" t="s">
        <v>878</v>
      </c>
      <c r="D2" s="818"/>
      <c r="E2" s="818"/>
      <c r="F2" s="819"/>
    </row>
    <row r="3" spans="1:7" ht="22.9" customHeight="1" x14ac:dyDescent="0.2">
      <c r="A3" s="743" t="s">
        <v>205</v>
      </c>
      <c r="B3" s="781" t="s">
        <v>332</v>
      </c>
      <c r="C3" s="777">
        <v>2017</v>
      </c>
      <c r="D3" s="777"/>
      <c r="E3" s="777">
        <v>2018</v>
      </c>
      <c r="F3" s="892"/>
    </row>
    <row r="4" spans="1:7" ht="75" customHeight="1" x14ac:dyDescent="0.2">
      <c r="A4" s="743"/>
      <c r="B4" s="781"/>
      <c r="C4" s="445" t="s">
        <v>38</v>
      </c>
      <c r="D4" s="445" t="s">
        <v>195</v>
      </c>
      <c r="E4" s="445" t="s">
        <v>38</v>
      </c>
      <c r="F4" s="446" t="s">
        <v>196</v>
      </c>
    </row>
    <row r="5" spans="1:7" x14ac:dyDescent="0.2">
      <c r="A5" s="29"/>
      <c r="B5" s="92"/>
      <c r="C5" s="39" t="s">
        <v>286</v>
      </c>
      <c r="D5" s="39" t="s">
        <v>287</v>
      </c>
      <c r="E5" s="39" t="s">
        <v>288</v>
      </c>
      <c r="F5" s="40" t="s">
        <v>295</v>
      </c>
    </row>
    <row r="6" spans="1:7" ht="31.5" x14ac:dyDescent="0.2">
      <c r="A6" s="29">
        <v>1</v>
      </c>
      <c r="B6" s="63" t="s">
        <v>1171</v>
      </c>
      <c r="C6" s="516">
        <f>C7+C10+C16+C19+C13+C22</f>
        <v>165275.74</v>
      </c>
      <c r="D6" s="61">
        <f>D7+D10+D16+D19+D13+D22</f>
        <v>1107</v>
      </c>
      <c r="E6" s="516">
        <f>E7+E10+E16+E19+E13+E22</f>
        <v>235118.28</v>
      </c>
      <c r="F6" s="138">
        <f>F7+F10+F16+F19+F13+F22</f>
        <v>1161</v>
      </c>
      <c r="G6" s="365"/>
    </row>
    <row r="7" spans="1:7" x14ac:dyDescent="0.2">
      <c r="A7" s="29">
        <v>2</v>
      </c>
      <c r="B7" s="63" t="s">
        <v>119</v>
      </c>
      <c r="C7" s="516">
        <f>SUM(C8:C9)</f>
        <v>89241.739999999991</v>
      </c>
      <c r="D7" s="61">
        <f>SUM(D8:D9)</f>
        <v>453</v>
      </c>
      <c r="E7" s="516">
        <f>SUM(E8:E9)</f>
        <v>54858</v>
      </c>
      <c r="F7" s="138">
        <f>SUM(F8:F9)</f>
        <v>221</v>
      </c>
      <c r="G7" s="365"/>
    </row>
    <row r="8" spans="1:7" x14ac:dyDescent="0.2">
      <c r="A8" s="29">
        <v>3</v>
      </c>
      <c r="B8" s="25" t="s">
        <v>57</v>
      </c>
      <c r="C8" s="498">
        <v>89241.739999999991</v>
      </c>
      <c r="D8" s="58">
        <v>453</v>
      </c>
      <c r="E8" s="498">
        <v>54858</v>
      </c>
      <c r="F8" s="58">
        <v>221</v>
      </c>
      <c r="G8" s="365"/>
    </row>
    <row r="9" spans="1:7" ht="18.75" x14ac:dyDescent="0.2">
      <c r="A9" s="29">
        <v>4</v>
      </c>
      <c r="B9" s="25" t="s">
        <v>139</v>
      </c>
      <c r="C9" s="498"/>
      <c r="D9" s="51"/>
      <c r="E9" s="498"/>
      <c r="F9" s="58"/>
      <c r="G9" s="365"/>
    </row>
    <row r="10" spans="1:7" ht="21" customHeight="1" x14ac:dyDescent="0.2">
      <c r="A10" s="29">
        <v>5</v>
      </c>
      <c r="B10" s="63" t="s">
        <v>899</v>
      </c>
      <c r="C10" s="516">
        <f>SUM(C11:C12)</f>
        <v>64736</v>
      </c>
      <c r="D10" s="61">
        <f>SUM(D11:D12)</f>
        <v>476</v>
      </c>
      <c r="E10" s="516">
        <f>SUM(E11:E12)</f>
        <v>11035</v>
      </c>
      <c r="F10" s="138">
        <f>SUM(F11:F12)</f>
        <v>101</v>
      </c>
      <c r="G10" s="365"/>
    </row>
    <row r="11" spans="1:7" x14ac:dyDescent="0.2">
      <c r="A11" s="29">
        <v>6</v>
      </c>
      <c r="B11" s="25" t="s">
        <v>57</v>
      </c>
      <c r="C11" s="498">
        <v>64736</v>
      </c>
      <c r="D11" s="58">
        <v>476</v>
      </c>
      <c r="E11" s="498">
        <v>11035</v>
      </c>
      <c r="F11" s="58">
        <v>101</v>
      </c>
      <c r="G11" s="365"/>
    </row>
    <row r="12" spans="1:7" ht="18.75" x14ac:dyDescent="0.2">
      <c r="A12" s="29">
        <v>7</v>
      </c>
      <c r="B12" s="25" t="s">
        <v>139</v>
      </c>
      <c r="C12" s="498"/>
      <c r="D12" s="58"/>
      <c r="E12" s="498"/>
      <c r="F12" s="58"/>
      <c r="G12" s="365"/>
    </row>
    <row r="13" spans="1:7" x14ac:dyDescent="0.2">
      <c r="A13" s="29">
        <v>8</v>
      </c>
      <c r="B13" s="328" t="s">
        <v>900</v>
      </c>
      <c r="C13" s="516">
        <f>C14+C15</f>
        <v>8240</v>
      </c>
      <c r="D13" s="125">
        <f>D14+D15</f>
        <v>124</v>
      </c>
      <c r="E13" s="516">
        <f>E14+E15</f>
        <v>3280</v>
      </c>
      <c r="F13" s="138">
        <f>F14+F15</f>
        <v>20</v>
      </c>
      <c r="G13" s="365"/>
    </row>
    <row r="14" spans="1:7" x14ac:dyDescent="0.2">
      <c r="A14" s="29">
        <v>9</v>
      </c>
      <c r="B14" s="25" t="s">
        <v>57</v>
      </c>
      <c r="C14" s="498">
        <v>8240</v>
      </c>
      <c r="D14" s="154">
        <v>124</v>
      </c>
      <c r="E14" s="498">
        <v>3280</v>
      </c>
      <c r="F14" s="58">
        <v>20</v>
      </c>
      <c r="G14" s="365"/>
    </row>
    <row r="15" spans="1:7" ht="18.75" x14ac:dyDescent="0.2">
      <c r="A15" s="29">
        <v>10</v>
      </c>
      <c r="B15" s="25" t="s">
        <v>964</v>
      </c>
      <c r="C15" s="498"/>
      <c r="D15" s="144"/>
      <c r="E15" s="498"/>
      <c r="F15" s="58"/>
      <c r="G15" s="365"/>
    </row>
    <row r="16" spans="1:7" x14ac:dyDescent="0.2">
      <c r="A16" s="29">
        <v>11</v>
      </c>
      <c r="B16" s="63" t="s">
        <v>901</v>
      </c>
      <c r="C16" s="516">
        <f>SUM(C17:C18)</f>
        <v>3058</v>
      </c>
      <c r="D16" s="125">
        <f>SUM(D17:D18)</f>
        <v>54</v>
      </c>
      <c r="E16" s="516">
        <f>SUM(E17:E18)</f>
        <v>1635</v>
      </c>
      <c r="F16" s="138">
        <f>SUM(F17:F18)</f>
        <v>21</v>
      </c>
    </row>
    <row r="17" spans="1:6" x14ac:dyDescent="0.2">
      <c r="A17" s="29">
        <v>12</v>
      </c>
      <c r="B17" s="25" t="s">
        <v>57</v>
      </c>
      <c r="C17" s="498">
        <v>3058</v>
      </c>
      <c r="D17" s="154">
        <v>54</v>
      </c>
      <c r="E17" s="498">
        <v>1635</v>
      </c>
      <c r="F17" s="58">
        <v>21</v>
      </c>
    </row>
    <row r="18" spans="1:6" ht="18.75" x14ac:dyDescent="0.2">
      <c r="A18" s="29">
        <v>13</v>
      </c>
      <c r="B18" s="25" t="s">
        <v>139</v>
      </c>
      <c r="C18" s="498"/>
      <c r="D18" s="144"/>
      <c r="E18" s="498"/>
      <c r="F18" s="58"/>
    </row>
    <row r="19" spans="1:6" x14ac:dyDescent="0.2">
      <c r="A19" s="29">
        <v>14</v>
      </c>
      <c r="B19" s="63" t="s">
        <v>902</v>
      </c>
      <c r="C19" s="516">
        <f>SUM(C20:C21)</f>
        <v>0</v>
      </c>
      <c r="D19" s="125">
        <f>SUM(D20:D21)</f>
        <v>0</v>
      </c>
      <c r="E19" s="516">
        <f>SUM(E20:E21)</f>
        <v>0</v>
      </c>
      <c r="F19" s="138">
        <f>SUM(F20:F21)</f>
        <v>0</v>
      </c>
    </row>
    <row r="20" spans="1:6" x14ac:dyDescent="0.2">
      <c r="A20" s="29">
        <v>15</v>
      </c>
      <c r="B20" s="25" t="s">
        <v>57</v>
      </c>
      <c r="C20" s="498">
        <v>0</v>
      </c>
      <c r="D20" s="144">
        <v>0</v>
      </c>
      <c r="E20" s="498">
        <v>0</v>
      </c>
      <c r="F20" s="58">
        <v>0</v>
      </c>
    </row>
    <row r="21" spans="1:6" ht="18.75" x14ac:dyDescent="0.2">
      <c r="A21" s="29">
        <v>16</v>
      </c>
      <c r="B21" s="113" t="s">
        <v>139</v>
      </c>
      <c r="C21" s="500"/>
      <c r="D21" s="155"/>
      <c r="E21" s="500"/>
      <c r="F21" s="514"/>
    </row>
    <row r="22" spans="1:6" x14ac:dyDescent="0.2">
      <c r="A22" s="443">
        <v>17</v>
      </c>
      <c r="B22" s="448" t="s">
        <v>1140</v>
      </c>
      <c r="C22" s="516">
        <f>C23+C24</f>
        <v>0</v>
      </c>
      <c r="D22" s="125">
        <f>D23+D24</f>
        <v>0</v>
      </c>
      <c r="E22" s="516">
        <f>E23+E24</f>
        <v>164310.28</v>
      </c>
      <c r="F22" s="138">
        <f>F23+F24</f>
        <v>798</v>
      </c>
    </row>
    <row r="23" spans="1:6" x14ac:dyDescent="0.2">
      <c r="A23" s="443">
        <v>18</v>
      </c>
      <c r="B23" s="449" t="s">
        <v>57</v>
      </c>
      <c r="C23" s="500"/>
      <c r="D23" s="155"/>
      <c r="E23" s="500">
        <v>164310.28</v>
      </c>
      <c r="F23" s="514">
        <v>798</v>
      </c>
    </row>
    <row r="24" spans="1:6" ht="18.75" x14ac:dyDescent="0.2">
      <c r="A24" s="443">
        <v>19</v>
      </c>
      <c r="B24" s="450" t="s">
        <v>1138</v>
      </c>
      <c r="C24" s="500"/>
      <c r="D24" s="155"/>
      <c r="E24" s="500"/>
      <c r="F24" s="514"/>
    </row>
    <row r="25" spans="1:6" ht="19.5" thickBot="1" x14ac:dyDescent="0.25">
      <c r="A25" s="30">
        <v>20</v>
      </c>
      <c r="B25" s="114" t="s">
        <v>780</v>
      </c>
      <c r="C25" s="156" t="s">
        <v>317</v>
      </c>
      <c r="D25" s="157">
        <v>1107</v>
      </c>
      <c r="E25" s="517" t="s">
        <v>317</v>
      </c>
      <c r="F25" s="515">
        <v>1160</v>
      </c>
    </row>
    <row r="26" spans="1:6" s="115" customFormat="1" x14ac:dyDescent="0.2">
      <c r="A26" s="343"/>
      <c r="B26" s="344"/>
      <c r="C26" s="345"/>
      <c r="D26" s="346"/>
      <c r="E26" s="345"/>
      <c r="F26" s="346"/>
    </row>
    <row r="27" spans="1:6" x14ac:dyDescent="0.2">
      <c r="A27" s="884" t="s">
        <v>709</v>
      </c>
      <c r="B27" s="885"/>
      <c r="C27" s="885"/>
      <c r="D27" s="885"/>
      <c r="E27" s="885"/>
      <c r="F27" s="886"/>
    </row>
    <row r="28" spans="1:6" x14ac:dyDescent="0.2">
      <c r="A28" s="887" t="s">
        <v>710</v>
      </c>
      <c r="B28" s="888"/>
      <c r="C28" s="888"/>
      <c r="D28" s="888"/>
      <c r="E28" s="888"/>
      <c r="F28" s="889"/>
    </row>
    <row r="29" spans="1:6" x14ac:dyDescent="0.2">
      <c r="A29" s="883" t="s">
        <v>897</v>
      </c>
      <c r="B29" s="883"/>
      <c r="C29" s="883"/>
      <c r="D29" s="883"/>
      <c r="E29" s="883"/>
      <c r="F29" s="883"/>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7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7"/>
  <sheetViews>
    <sheetView zoomScaleNormal="100" workbookViewId="0">
      <pane xSplit="2" ySplit="5" topLeftCell="C6" activePane="bottomRight" state="frozen"/>
      <selection pane="topRight" activeCell="C1" sqref="C1"/>
      <selection pane="bottomLeft" activeCell="A5" sqref="A5"/>
      <selection pane="bottomRight" activeCell="H10" sqref="H10"/>
    </sheetView>
  </sheetViews>
  <sheetFormatPr defaultColWidth="9.140625" defaultRowHeight="18.75" x14ac:dyDescent="0.25"/>
  <cols>
    <col min="1" max="1" width="9.140625" style="236"/>
    <col min="2" max="2" width="67" style="255" customWidth="1"/>
    <col min="3" max="3" width="20.28515625" style="285" customWidth="1"/>
    <col min="4" max="4" width="23.5703125" style="285" customWidth="1"/>
    <col min="5" max="5" width="22.140625" style="285" customWidth="1"/>
    <col min="6" max="6" width="23.85546875" style="236" customWidth="1"/>
    <col min="7" max="7" width="16.140625" style="236" customWidth="1"/>
    <col min="8" max="16384" width="9.140625" style="236"/>
  </cols>
  <sheetData>
    <row r="1" spans="1:8" ht="50.1" customHeight="1" thickBot="1" x14ac:dyDescent="0.3">
      <c r="A1" s="832" t="s">
        <v>1121</v>
      </c>
      <c r="B1" s="893"/>
      <c r="C1" s="893"/>
      <c r="D1" s="894"/>
      <c r="E1" s="894"/>
      <c r="F1" s="895"/>
    </row>
    <row r="2" spans="1:8" ht="35.1" customHeight="1" thickBot="1" x14ac:dyDescent="0.3">
      <c r="A2" s="896" t="s">
        <v>1259</v>
      </c>
      <c r="B2" s="897"/>
      <c r="C2" s="897"/>
      <c r="D2" s="898"/>
      <c r="E2" s="898"/>
      <c r="F2" s="899"/>
    </row>
    <row r="3" spans="1:8" ht="33" customHeight="1" x14ac:dyDescent="0.25">
      <c r="A3" s="743" t="s">
        <v>205</v>
      </c>
      <c r="B3" s="903" t="s">
        <v>332</v>
      </c>
      <c r="C3" s="900">
        <v>2017</v>
      </c>
      <c r="D3" s="900"/>
      <c r="E3" s="900">
        <v>2018</v>
      </c>
      <c r="F3" s="901"/>
    </row>
    <row r="4" spans="1:8" ht="71.25" customHeight="1" x14ac:dyDescent="0.25">
      <c r="A4" s="743"/>
      <c r="B4" s="904"/>
      <c r="C4" s="399" t="s">
        <v>954</v>
      </c>
      <c r="D4" s="399" t="s">
        <v>955</v>
      </c>
      <c r="E4" s="399" t="s">
        <v>954</v>
      </c>
      <c r="F4" s="402" t="s">
        <v>955</v>
      </c>
    </row>
    <row r="5" spans="1:8" ht="18.75" customHeight="1" x14ac:dyDescent="0.25">
      <c r="A5" s="238"/>
      <c r="B5" s="239"/>
      <c r="C5" s="240" t="s">
        <v>286</v>
      </c>
      <c r="D5" s="240" t="s">
        <v>287</v>
      </c>
      <c r="E5" s="400" t="s">
        <v>288</v>
      </c>
      <c r="F5" s="403" t="s">
        <v>295</v>
      </c>
    </row>
    <row r="6" spans="1:8" s="282" customFormat="1" ht="34.5" customHeight="1" x14ac:dyDescent="0.2">
      <c r="A6" s="244">
        <v>1</v>
      </c>
      <c r="B6" s="401" t="s">
        <v>785</v>
      </c>
      <c r="C6" s="521">
        <v>46527</v>
      </c>
      <c r="D6" s="521">
        <v>26393.900000000023</v>
      </c>
      <c r="E6" s="522">
        <f>C9</f>
        <v>6491</v>
      </c>
      <c r="F6" s="523">
        <f>D9</f>
        <v>887.90000000002328</v>
      </c>
      <c r="G6" s="349"/>
      <c r="H6" s="350"/>
    </row>
    <row r="7" spans="1:8" ht="36" customHeight="1" x14ac:dyDescent="0.25">
      <c r="A7" s="244">
        <v>2</v>
      </c>
      <c r="B7" s="401" t="s">
        <v>948</v>
      </c>
      <c r="C7" s="521">
        <v>1361134</v>
      </c>
      <c r="D7" s="524">
        <v>561120</v>
      </c>
      <c r="E7" s="521">
        <v>1328720</v>
      </c>
      <c r="F7" s="524">
        <v>616750</v>
      </c>
      <c r="G7" s="525"/>
    </row>
    <row r="8" spans="1:8" ht="35.25" customHeight="1" x14ac:dyDescent="0.25">
      <c r="A8" s="244">
        <v>3</v>
      </c>
      <c r="B8" s="401" t="s">
        <v>786</v>
      </c>
      <c r="C8" s="521">
        <v>1401170</v>
      </c>
      <c r="D8" s="524">
        <v>586626</v>
      </c>
      <c r="E8" s="521">
        <v>1305445.45</v>
      </c>
      <c r="F8" s="524">
        <v>614623</v>
      </c>
      <c r="G8" s="525"/>
    </row>
    <row r="9" spans="1:8" ht="39.75" customHeight="1" x14ac:dyDescent="0.25">
      <c r="A9" s="244">
        <v>4</v>
      </c>
      <c r="B9" s="401" t="s">
        <v>949</v>
      </c>
      <c r="C9" s="522">
        <f>C6+C7-C8</f>
        <v>6491</v>
      </c>
      <c r="D9" s="522">
        <f>D6+D7-D8</f>
        <v>887.90000000002328</v>
      </c>
      <c r="E9" s="522">
        <f>E6+E7-E8</f>
        <v>29765.550000000047</v>
      </c>
      <c r="F9" s="523">
        <f>F6+F7-F8</f>
        <v>3014.9000000000233</v>
      </c>
      <c r="G9" s="525"/>
    </row>
    <row r="10" spans="1:8" ht="36" customHeight="1" thickBot="1" x14ac:dyDescent="0.3">
      <c r="A10" s="404">
        <v>5</v>
      </c>
      <c r="B10" s="405" t="s">
        <v>950</v>
      </c>
      <c r="C10" s="406">
        <v>3754</v>
      </c>
      <c r="D10" s="407">
        <v>1441</v>
      </c>
      <c r="E10" s="406">
        <v>3172</v>
      </c>
      <c r="F10" s="407">
        <v>1452</v>
      </c>
    </row>
    <row r="11" spans="1:8" ht="21" customHeight="1" x14ac:dyDescent="0.25">
      <c r="A11" s="283"/>
      <c r="B11" s="284"/>
      <c r="C11" s="236"/>
      <c r="D11" s="236"/>
      <c r="E11" s="236"/>
      <c r="G11" s="282"/>
    </row>
    <row r="12" spans="1:8" ht="21" customHeight="1" x14ac:dyDescent="0.25">
      <c r="A12" s="902" t="s">
        <v>951</v>
      </c>
      <c r="B12" s="902"/>
      <c r="C12" s="902"/>
      <c r="D12" s="902"/>
      <c r="E12" s="902"/>
      <c r="F12" s="902"/>
    </row>
    <row r="13" spans="1:8" ht="18" x14ac:dyDescent="0.25">
      <c r="A13" s="351" t="s">
        <v>952</v>
      </c>
      <c r="B13" s="352"/>
      <c r="C13" s="347"/>
      <c r="D13" s="347"/>
      <c r="E13" s="347"/>
      <c r="F13" s="348"/>
    </row>
    <row r="14" spans="1:8" ht="18" x14ac:dyDescent="0.25">
      <c r="A14" s="351" t="s">
        <v>953</v>
      </c>
      <c r="B14" s="352"/>
      <c r="C14" s="347"/>
      <c r="D14" s="347"/>
      <c r="E14" s="347"/>
      <c r="F14" s="348"/>
    </row>
    <row r="16" spans="1:8" x14ac:dyDescent="0.25">
      <c r="C16" s="285" t="s">
        <v>158</v>
      </c>
    </row>
    <row r="17" spans="6:6" x14ac:dyDescent="0.25">
      <c r="F17" s="526"/>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M12"/>
  <sheetViews>
    <sheetView zoomScale="85" zoomScaleNormal="85" workbookViewId="0">
      <pane xSplit="1" ySplit="5" topLeftCell="B6" activePane="bottomRight" state="frozen"/>
      <selection pane="topRight" activeCell="B1" sqref="B1"/>
      <selection pane="bottomLeft" activeCell="A6" sqref="A6"/>
      <selection pane="bottomRight" activeCell="M7" sqref="M7"/>
    </sheetView>
  </sheetViews>
  <sheetFormatPr defaultColWidth="9.140625" defaultRowHeight="15.75" x14ac:dyDescent="0.2"/>
  <cols>
    <col min="1" max="1" width="8.85546875" style="74" customWidth="1"/>
    <col min="2" max="2" width="20.5703125" style="74" customWidth="1"/>
    <col min="3" max="3" width="18.28515625" style="74" customWidth="1"/>
    <col min="4" max="4" width="17.85546875" style="74" bestFit="1" customWidth="1"/>
    <col min="5" max="5" width="15.7109375" style="74" customWidth="1"/>
    <col min="6" max="6" width="15.5703125" style="74" bestFit="1" customWidth="1"/>
    <col min="7" max="7" width="18.7109375" style="74" customWidth="1"/>
    <col min="8" max="8" width="20.28515625" style="74" customWidth="1"/>
    <col min="9" max="9" width="18" style="74" customWidth="1"/>
    <col min="10" max="10" width="18.85546875" style="74" bestFit="1" customWidth="1"/>
    <col min="11" max="11" width="16.85546875" style="74" customWidth="1"/>
    <col min="12" max="12" width="15.5703125" style="74" bestFit="1" customWidth="1"/>
    <col min="13" max="13" width="17.7109375" style="74" customWidth="1"/>
    <col min="14" max="16384" width="9.140625" style="74"/>
  </cols>
  <sheetData>
    <row r="1" spans="1:13" s="72" customFormat="1" ht="35.1" customHeight="1" thickBot="1" x14ac:dyDescent="0.25">
      <c r="A1" s="905" t="s">
        <v>1122</v>
      </c>
      <c r="B1" s="906"/>
      <c r="C1" s="906"/>
      <c r="D1" s="906"/>
      <c r="E1" s="906"/>
      <c r="F1" s="906"/>
      <c r="G1" s="906"/>
      <c r="H1" s="906"/>
      <c r="I1" s="906"/>
      <c r="J1" s="906"/>
      <c r="K1" s="906"/>
      <c r="L1" s="906"/>
      <c r="M1" s="907"/>
    </row>
    <row r="2" spans="1:13" s="72" customFormat="1" ht="42.75" customHeight="1" x14ac:dyDescent="0.2">
      <c r="A2" s="752" t="s">
        <v>1261</v>
      </c>
      <c r="B2" s="753"/>
      <c r="C2" s="753"/>
      <c r="D2" s="753"/>
      <c r="E2" s="753"/>
      <c r="F2" s="753"/>
      <c r="G2" s="753"/>
      <c r="H2" s="753"/>
      <c r="I2" s="753"/>
      <c r="J2" s="753"/>
      <c r="K2" s="753"/>
      <c r="L2" s="753"/>
      <c r="M2" s="754"/>
    </row>
    <row r="3" spans="1:13" s="72" customFormat="1" ht="45.75" customHeight="1" x14ac:dyDescent="0.2">
      <c r="A3" s="909" t="s">
        <v>205</v>
      </c>
      <c r="B3" s="911" t="s">
        <v>965</v>
      </c>
      <c r="C3" s="911"/>
      <c r="D3" s="911"/>
      <c r="E3" s="911"/>
      <c r="F3" s="911"/>
      <c r="G3" s="911"/>
      <c r="H3" s="911" t="s">
        <v>1123</v>
      </c>
      <c r="I3" s="911"/>
      <c r="J3" s="911"/>
      <c r="K3" s="911"/>
      <c r="L3" s="911"/>
      <c r="M3" s="912"/>
    </row>
    <row r="4" spans="1:13" s="73" customFormat="1" ht="171.75" customHeight="1" x14ac:dyDescent="0.2">
      <c r="A4" s="910"/>
      <c r="B4" s="279" t="s">
        <v>781</v>
      </c>
      <c r="C4" s="279" t="s">
        <v>782</v>
      </c>
      <c r="D4" s="279" t="s">
        <v>228</v>
      </c>
      <c r="E4" s="279" t="s">
        <v>80</v>
      </c>
      <c r="F4" s="279" t="s">
        <v>81</v>
      </c>
      <c r="G4" s="279" t="s">
        <v>203</v>
      </c>
      <c r="H4" s="279" t="s">
        <v>781</v>
      </c>
      <c r="I4" s="279" t="s">
        <v>782</v>
      </c>
      <c r="J4" s="279" t="s">
        <v>228</v>
      </c>
      <c r="K4" s="279" t="s">
        <v>80</v>
      </c>
      <c r="L4" s="95" t="s">
        <v>81</v>
      </c>
      <c r="M4" s="97" t="s">
        <v>203</v>
      </c>
    </row>
    <row r="5" spans="1:13" x14ac:dyDescent="0.2">
      <c r="A5" s="98"/>
      <c r="B5" s="96" t="s">
        <v>286</v>
      </c>
      <c r="C5" s="96" t="s">
        <v>287</v>
      </c>
      <c r="D5" s="96" t="s">
        <v>288</v>
      </c>
      <c r="E5" s="96" t="s">
        <v>295</v>
      </c>
      <c r="F5" s="96" t="s">
        <v>289</v>
      </c>
      <c r="G5" s="96" t="s">
        <v>711</v>
      </c>
      <c r="H5" s="96" t="s">
        <v>291</v>
      </c>
      <c r="I5" s="96" t="s">
        <v>292</v>
      </c>
      <c r="J5" s="96" t="s">
        <v>293</v>
      </c>
      <c r="K5" s="96" t="s">
        <v>712</v>
      </c>
      <c r="L5" s="208" t="s">
        <v>713</v>
      </c>
      <c r="M5" s="99" t="s">
        <v>898</v>
      </c>
    </row>
    <row r="6" spans="1:13" ht="36" customHeight="1" thickBot="1" x14ac:dyDescent="0.25">
      <c r="A6" s="100">
        <v>1</v>
      </c>
      <c r="B6" s="209">
        <v>30536852.960000001</v>
      </c>
      <c r="C6" s="209">
        <v>90710565.099999994</v>
      </c>
      <c r="D6" s="209">
        <v>13170782.09</v>
      </c>
      <c r="E6" s="209">
        <v>3948501.96</v>
      </c>
      <c r="F6" s="209">
        <v>2386240.36</v>
      </c>
      <c r="G6" s="210">
        <f>SUM(B6:F6)</f>
        <v>140752942.47000003</v>
      </c>
      <c r="H6" s="209">
        <v>33045968.66</v>
      </c>
      <c r="I6" s="209">
        <v>78893707.409999996</v>
      </c>
      <c r="J6" s="209">
        <v>14700588.32</v>
      </c>
      <c r="K6" s="209">
        <v>4230362.49</v>
      </c>
      <c r="L6" s="209">
        <v>2241745.06</v>
      </c>
      <c r="M6" s="211">
        <f>SUM(H6:L6)</f>
        <v>133112371.93999998</v>
      </c>
    </row>
    <row r="7" spans="1:13" x14ac:dyDescent="0.2">
      <c r="G7" s="691"/>
      <c r="M7" s="691"/>
    </row>
    <row r="9" spans="1:13" x14ac:dyDescent="0.2">
      <c r="H9" s="692"/>
      <c r="I9" s="692"/>
    </row>
    <row r="10" spans="1:13" x14ac:dyDescent="0.2">
      <c r="B10" s="908"/>
      <c r="C10" s="908"/>
      <c r="D10" s="908"/>
      <c r="I10" s="651"/>
      <c r="J10" s="641"/>
    </row>
    <row r="11" spans="1:13" x14ac:dyDescent="0.2">
      <c r="I11" s="651"/>
      <c r="J11" s="641"/>
    </row>
    <row r="12" spans="1:13" x14ac:dyDescent="0.2">
      <c r="B12" s="908"/>
      <c r="C12" s="908"/>
      <c r="D12" s="908"/>
      <c r="I12" s="651"/>
      <c r="J12" s="641"/>
    </row>
  </sheetData>
  <mergeCells count="7">
    <mergeCell ref="A1:M1"/>
    <mergeCell ref="A2:M2"/>
    <mergeCell ref="B10:D10"/>
    <mergeCell ref="B12:D12"/>
    <mergeCell ref="A3:A4"/>
    <mergeCell ref="B3:G3"/>
    <mergeCell ref="H3:M3"/>
  </mergeCells>
  <phoneticPr fontId="23" type="noConversion"/>
  <pageMargins left="0.4" right="0.27" top="0.98425196850393704" bottom="0.98425196850393704" header="0.51181102362204722" footer="0.51181102362204722"/>
  <pageSetup paperSize="9" scale="6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4"/>
  <sheetViews>
    <sheetView zoomScaleNormal="100" workbookViewId="0">
      <pane xSplit="3" ySplit="3" topLeftCell="D34" activePane="bottomRight" state="frozen"/>
      <selection pane="topRight" activeCell="D1" sqref="D1"/>
      <selection pane="bottomLeft" activeCell="A4" sqref="A4"/>
      <selection pane="bottomRight" activeCell="G45" sqref="G45"/>
    </sheetView>
  </sheetViews>
  <sheetFormatPr defaultColWidth="9.140625" defaultRowHeight="15.75" x14ac:dyDescent="0.2"/>
  <cols>
    <col min="1" max="1" width="7.28515625" style="161" customWidth="1"/>
    <col min="2" max="2" width="39.85546875" style="161" customWidth="1"/>
    <col min="3" max="3" width="9.42578125" style="161" customWidth="1"/>
    <col min="4" max="4" width="18.42578125" style="161" customWidth="1"/>
    <col min="5" max="5" width="17.85546875" style="161" bestFit="1" customWidth="1"/>
    <col min="6" max="6" width="16.140625" style="161" bestFit="1" customWidth="1"/>
    <col min="7" max="7" width="12.140625" style="161" bestFit="1" customWidth="1"/>
    <col min="8" max="16384" width="9.140625" style="161"/>
  </cols>
  <sheetData>
    <row r="1" spans="1:7" ht="66.75" customHeight="1" thickBot="1" x14ac:dyDescent="0.25">
      <c r="A1" s="919" t="s">
        <v>1124</v>
      </c>
      <c r="B1" s="920"/>
      <c r="C1" s="920"/>
      <c r="D1" s="920"/>
      <c r="E1" s="920"/>
      <c r="F1" s="921"/>
    </row>
    <row r="2" spans="1:7" ht="36.75" customHeight="1" thickBot="1" x14ac:dyDescent="0.25">
      <c r="A2" s="922" t="s">
        <v>1257</v>
      </c>
      <c r="B2" s="923"/>
      <c r="C2" s="923"/>
      <c r="D2" s="923"/>
      <c r="E2" s="923"/>
      <c r="F2" s="924"/>
    </row>
    <row r="3" spans="1:7" s="162" customFormat="1" ht="69" customHeight="1" thickBot="1" x14ac:dyDescent="0.25">
      <c r="A3" s="479" t="s">
        <v>537</v>
      </c>
      <c r="B3" s="479" t="s">
        <v>406</v>
      </c>
      <c r="C3" s="482" t="s">
        <v>205</v>
      </c>
      <c r="D3" s="482" t="s">
        <v>1125</v>
      </c>
      <c r="E3" s="483" t="s">
        <v>1126</v>
      </c>
      <c r="F3" s="484" t="s">
        <v>1101</v>
      </c>
      <c r="G3" s="161"/>
    </row>
    <row r="4" spans="1:7" s="162" customFormat="1" x14ac:dyDescent="0.2">
      <c r="A4" s="475"/>
      <c r="B4" s="485"/>
      <c r="C4" s="477"/>
      <c r="D4" s="477" t="s">
        <v>286</v>
      </c>
      <c r="E4" s="477" t="s">
        <v>287</v>
      </c>
      <c r="F4" s="478" t="s">
        <v>288</v>
      </c>
      <c r="G4" s="161"/>
    </row>
    <row r="5" spans="1:7" customFormat="1" x14ac:dyDescent="0.25">
      <c r="A5" s="193">
        <v>601</v>
      </c>
      <c r="B5" s="186" t="s">
        <v>611</v>
      </c>
      <c r="C5" s="187" t="s">
        <v>612</v>
      </c>
      <c r="D5" s="622"/>
      <c r="E5" s="622"/>
      <c r="F5" s="623">
        <f>E5-D5</f>
        <v>0</v>
      </c>
      <c r="G5" s="161"/>
    </row>
    <row r="6" spans="1:7" customFormat="1" x14ac:dyDescent="0.25">
      <c r="A6" s="194">
        <v>602</v>
      </c>
      <c r="B6" s="188" t="s">
        <v>613</v>
      </c>
      <c r="C6" s="189" t="s">
        <v>614</v>
      </c>
      <c r="D6" s="624">
        <v>5045273.5</v>
      </c>
      <c r="E6" s="624">
        <v>4873055.8899999997</v>
      </c>
      <c r="F6" s="623">
        <f t="shared" ref="F6:F39" si="0">E6-D6</f>
        <v>-172217.61000000034</v>
      </c>
      <c r="G6" s="161"/>
    </row>
    <row r="7" spans="1:7" customFormat="1" x14ac:dyDescent="0.25">
      <c r="A7" s="194">
        <v>604</v>
      </c>
      <c r="B7" s="190" t="s">
        <v>615</v>
      </c>
      <c r="C7" s="189" t="s">
        <v>616</v>
      </c>
      <c r="D7" s="624">
        <v>92432.5</v>
      </c>
      <c r="E7" s="624">
        <v>88307.04</v>
      </c>
      <c r="F7" s="623">
        <f t="shared" si="0"/>
        <v>-4125.4600000000064</v>
      </c>
      <c r="G7" s="161"/>
    </row>
    <row r="8" spans="1:7" customFormat="1" x14ac:dyDescent="0.25">
      <c r="A8" s="194">
        <v>611</v>
      </c>
      <c r="B8" s="188" t="s">
        <v>617</v>
      </c>
      <c r="C8" s="189" t="s">
        <v>618</v>
      </c>
      <c r="D8" s="624"/>
      <c r="E8" s="624"/>
      <c r="F8" s="623">
        <f t="shared" si="0"/>
        <v>0</v>
      </c>
      <c r="G8" s="161"/>
    </row>
    <row r="9" spans="1:7" customFormat="1" x14ac:dyDescent="0.25">
      <c r="A9" s="194">
        <v>612</v>
      </c>
      <c r="B9" s="188" t="s">
        <v>619</v>
      </c>
      <c r="C9" s="189" t="s">
        <v>620</v>
      </c>
      <c r="D9" s="624"/>
      <c r="E9" s="624"/>
      <c r="F9" s="623">
        <f t="shared" si="0"/>
        <v>0</v>
      </c>
      <c r="G9" s="161"/>
    </row>
    <row r="10" spans="1:7" customFormat="1" x14ac:dyDescent="0.25">
      <c r="A10" s="194">
        <v>613</v>
      </c>
      <c r="B10" s="188" t="s">
        <v>621</v>
      </c>
      <c r="C10" s="189" t="s">
        <v>622</v>
      </c>
      <c r="D10" s="624"/>
      <c r="E10" s="624"/>
      <c r="F10" s="623">
        <f t="shared" si="0"/>
        <v>0</v>
      </c>
      <c r="G10" s="161"/>
    </row>
    <row r="11" spans="1:7" customFormat="1" x14ac:dyDescent="0.25">
      <c r="A11" s="194">
        <v>614</v>
      </c>
      <c r="B11" s="188" t="s">
        <v>623</v>
      </c>
      <c r="C11" s="189" t="s">
        <v>624</v>
      </c>
      <c r="D11" s="624"/>
      <c r="E11" s="624"/>
      <c r="F11" s="623">
        <f t="shared" si="0"/>
        <v>0</v>
      </c>
      <c r="G11" s="161"/>
    </row>
    <row r="12" spans="1:7" customFormat="1" x14ac:dyDescent="0.25">
      <c r="A12" s="194">
        <v>621</v>
      </c>
      <c r="B12" s="188" t="s">
        <v>625</v>
      </c>
      <c r="C12" s="189" t="s">
        <v>626</v>
      </c>
      <c r="D12" s="624"/>
      <c r="E12" s="624"/>
      <c r="F12" s="623">
        <f t="shared" si="0"/>
        <v>0</v>
      </c>
      <c r="G12" s="161"/>
    </row>
    <row r="13" spans="1:7" customFormat="1" x14ac:dyDescent="0.25">
      <c r="A13" s="194">
        <v>622</v>
      </c>
      <c r="B13" s="188" t="s">
        <v>627</v>
      </c>
      <c r="C13" s="189" t="s">
        <v>628</v>
      </c>
      <c r="D13" s="624"/>
      <c r="E13" s="624"/>
      <c r="F13" s="623">
        <f t="shared" si="0"/>
        <v>0</v>
      </c>
      <c r="G13" s="161"/>
    </row>
    <row r="14" spans="1:7" customFormat="1" x14ac:dyDescent="0.25">
      <c r="A14" s="194">
        <v>623</v>
      </c>
      <c r="B14" s="188" t="s">
        <v>629</v>
      </c>
      <c r="C14" s="189" t="s">
        <v>630</v>
      </c>
      <c r="D14" s="624"/>
      <c r="E14" s="624"/>
      <c r="F14" s="623">
        <f t="shared" si="0"/>
        <v>0</v>
      </c>
    </row>
    <row r="15" spans="1:7" customFormat="1" x14ac:dyDescent="0.25">
      <c r="A15" s="194">
        <v>624</v>
      </c>
      <c r="B15" s="188" t="s">
        <v>631</v>
      </c>
      <c r="C15" s="189" t="s">
        <v>632</v>
      </c>
      <c r="D15" s="624"/>
      <c r="E15" s="624"/>
      <c r="F15" s="623">
        <f t="shared" si="0"/>
        <v>0</v>
      </c>
    </row>
    <row r="16" spans="1:7" customFormat="1" x14ac:dyDescent="0.25">
      <c r="A16" s="194">
        <v>641</v>
      </c>
      <c r="B16" s="188" t="s">
        <v>568</v>
      </c>
      <c r="C16" s="189" t="s">
        <v>633</v>
      </c>
      <c r="D16" s="624">
        <v>975.31</v>
      </c>
      <c r="E16" s="624">
        <v>739.89</v>
      </c>
      <c r="F16" s="623">
        <f t="shared" si="0"/>
        <v>-235.41999999999996</v>
      </c>
    </row>
    <row r="17" spans="1:8" customFormat="1" x14ac:dyDescent="0.25">
      <c r="A17" s="194">
        <v>642</v>
      </c>
      <c r="B17" s="188" t="s">
        <v>570</v>
      </c>
      <c r="C17" s="189" t="s">
        <v>634</v>
      </c>
      <c r="D17" s="624">
        <v>8990.56</v>
      </c>
      <c r="E17" s="624">
        <v>10420.379999999999</v>
      </c>
      <c r="F17" s="623">
        <f t="shared" si="0"/>
        <v>1429.8199999999997</v>
      </c>
    </row>
    <row r="18" spans="1:8" customFormat="1" x14ac:dyDescent="0.25">
      <c r="A18" s="194">
        <v>643</v>
      </c>
      <c r="B18" s="188" t="s">
        <v>635</v>
      </c>
      <c r="C18" s="189" t="s">
        <v>636</v>
      </c>
      <c r="D18" s="624"/>
      <c r="E18" s="624"/>
      <c r="F18" s="623">
        <f t="shared" si="0"/>
        <v>0</v>
      </c>
    </row>
    <row r="19" spans="1:8" customFormat="1" x14ac:dyDescent="0.25">
      <c r="A19" s="194">
        <v>644</v>
      </c>
      <c r="B19" s="188" t="s">
        <v>574</v>
      </c>
      <c r="C19" s="189" t="s">
        <v>637</v>
      </c>
      <c r="D19" s="624">
        <v>52.59</v>
      </c>
      <c r="E19" s="624">
        <v>82.23</v>
      </c>
      <c r="F19" s="623">
        <f t="shared" si="0"/>
        <v>29.64</v>
      </c>
    </row>
    <row r="20" spans="1:8" customFormat="1" x14ac:dyDescent="0.25">
      <c r="A20" s="194">
        <v>645</v>
      </c>
      <c r="B20" s="188" t="s">
        <v>638</v>
      </c>
      <c r="C20" s="189" t="s">
        <v>639</v>
      </c>
      <c r="D20" s="624"/>
      <c r="E20" s="624"/>
      <c r="F20" s="623">
        <f t="shared" si="0"/>
        <v>0</v>
      </c>
    </row>
    <row r="21" spans="1:8" customFormat="1" x14ac:dyDescent="0.25">
      <c r="A21" s="194">
        <v>646</v>
      </c>
      <c r="B21" s="188" t="s">
        <v>640</v>
      </c>
      <c r="C21" s="189" t="s">
        <v>641</v>
      </c>
      <c r="D21" s="624"/>
      <c r="E21" s="624"/>
      <c r="F21" s="623">
        <f t="shared" si="0"/>
        <v>0</v>
      </c>
    </row>
    <row r="22" spans="1:8" customFormat="1" x14ac:dyDescent="0.25">
      <c r="A22" s="194">
        <v>647</v>
      </c>
      <c r="B22" s="188" t="s">
        <v>642</v>
      </c>
      <c r="C22" s="189" t="s">
        <v>643</v>
      </c>
      <c r="D22" s="624"/>
      <c r="E22" s="624"/>
      <c r="F22" s="623">
        <f t="shared" si="0"/>
        <v>0</v>
      </c>
    </row>
    <row r="23" spans="1:8" customFormat="1" x14ac:dyDescent="0.25">
      <c r="A23" s="194">
        <v>648</v>
      </c>
      <c r="B23" s="188" t="s">
        <v>1013</v>
      </c>
      <c r="C23" s="189" t="s">
        <v>644</v>
      </c>
      <c r="D23" s="624">
        <v>200065.4</v>
      </c>
      <c r="E23" s="624">
        <v>193447.24</v>
      </c>
      <c r="F23" s="623">
        <f t="shared" si="0"/>
        <v>-6618.1600000000035</v>
      </c>
      <c r="G23" s="642"/>
      <c r="H23" s="643"/>
    </row>
    <row r="24" spans="1:8" customFormat="1" x14ac:dyDescent="0.25">
      <c r="A24" s="194">
        <v>649</v>
      </c>
      <c r="B24" s="188" t="s">
        <v>645</v>
      </c>
      <c r="C24" s="189" t="s">
        <v>646</v>
      </c>
      <c r="D24" s="624">
        <v>0</v>
      </c>
      <c r="E24" s="624">
        <v>0</v>
      </c>
      <c r="F24" s="623">
        <f t="shared" si="0"/>
        <v>0</v>
      </c>
      <c r="G24" s="644"/>
      <c r="H24" s="643"/>
    </row>
    <row r="25" spans="1:8" customFormat="1" x14ac:dyDescent="0.25">
      <c r="A25" s="194">
        <v>651</v>
      </c>
      <c r="B25" s="188" t="s">
        <v>647</v>
      </c>
      <c r="C25" s="189" t="s">
        <v>648</v>
      </c>
      <c r="D25" s="624"/>
      <c r="E25" s="624"/>
      <c r="F25" s="623">
        <f t="shared" si="0"/>
        <v>0</v>
      </c>
      <c r="H25" s="645"/>
    </row>
    <row r="26" spans="1:8" customFormat="1" x14ac:dyDescent="0.25">
      <c r="A26" s="194">
        <v>652</v>
      </c>
      <c r="B26" s="188" t="s">
        <v>649</v>
      </c>
      <c r="C26" s="189" t="s">
        <v>650</v>
      </c>
      <c r="D26" s="624"/>
      <c r="E26" s="624"/>
      <c r="F26" s="623">
        <f t="shared" si="0"/>
        <v>0</v>
      </c>
    </row>
    <row r="27" spans="1:8" customFormat="1" x14ac:dyDescent="0.25">
      <c r="A27" s="194">
        <v>653</v>
      </c>
      <c r="B27" s="188" t="s">
        <v>651</v>
      </c>
      <c r="C27" s="189" t="s">
        <v>652</v>
      </c>
      <c r="D27" s="624"/>
      <c r="E27" s="624"/>
      <c r="F27" s="623">
        <f t="shared" si="0"/>
        <v>0</v>
      </c>
    </row>
    <row r="28" spans="1:8" customFormat="1" x14ac:dyDescent="0.25">
      <c r="A28" s="194">
        <v>654</v>
      </c>
      <c r="B28" s="188" t="s">
        <v>653</v>
      </c>
      <c r="C28" s="189" t="s">
        <v>654</v>
      </c>
      <c r="D28" s="624"/>
      <c r="E28" s="624"/>
      <c r="F28" s="623">
        <f t="shared" si="0"/>
        <v>0</v>
      </c>
    </row>
    <row r="29" spans="1:8" customFormat="1" x14ac:dyDescent="0.25">
      <c r="A29" s="194">
        <v>655</v>
      </c>
      <c r="B29" s="188" t="s">
        <v>655</v>
      </c>
      <c r="C29" s="189" t="s">
        <v>656</v>
      </c>
      <c r="D29" s="624"/>
      <c r="E29" s="624"/>
      <c r="F29" s="623">
        <f t="shared" si="0"/>
        <v>0</v>
      </c>
    </row>
    <row r="30" spans="1:8" customFormat="1" x14ac:dyDescent="0.25">
      <c r="A30" s="195">
        <v>656</v>
      </c>
      <c r="B30" s="188" t="s">
        <v>657</v>
      </c>
      <c r="C30" s="189" t="s">
        <v>658</v>
      </c>
      <c r="D30" s="621">
        <v>165275.74</v>
      </c>
      <c r="E30" s="624">
        <f>'T19-Štip_ z vlastných '!E6</f>
        <v>235118.28</v>
      </c>
      <c r="F30" s="623">
        <f t="shared" si="0"/>
        <v>69842.540000000008</v>
      </c>
      <c r="G30" s="646"/>
      <c r="H30" s="643"/>
    </row>
    <row r="31" spans="1:8" customFormat="1" x14ac:dyDescent="0.25">
      <c r="A31" s="195">
        <v>657</v>
      </c>
      <c r="B31" s="188" t="s">
        <v>659</v>
      </c>
      <c r="C31" s="189" t="s">
        <v>660</v>
      </c>
      <c r="D31" s="624"/>
      <c r="E31" s="624"/>
      <c r="F31" s="623">
        <f t="shared" si="0"/>
        <v>0</v>
      </c>
    </row>
    <row r="32" spans="1:8" customFormat="1" x14ac:dyDescent="0.25">
      <c r="A32" s="195">
        <v>658</v>
      </c>
      <c r="B32" s="188" t="s">
        <v>661</v>
      </c>
      <c r="C32" s="189" t="s">
        <v>662</v>
      </c>
      <c r="D32" s="624">
        <v>114460.06</v>
      </c>
      <c r="E32" s="624">
        <v>112241.45</v>
      </c>
      <c r="F32" s="623">
        <f t="shared" si="0"/>
        <v>-2218.6100000000006</v>
      </c>
    </row>
    <row r="33" spans="1:7" customFormat="1" x14ac:dyDescent="0.25">
      <c r="A33" s="195">
        <v>661</v>
      </c>
      <c r="B33" s="188" t="s">
        <v>663</v>
      </c>
      <c r="C33" s="189" t="s">
        <v>664</v>
      </c>
      <c r="D33" s="624"/>
      <c r="E33" s="624"/>
      <c r="F33" s="623">
        <f t="shared" si="0"/>
        <v>0</v>
      </c>
    </row>
    <row r="34" spans="1:7" customFormat="1" x14ac:dyDescent="0.25">
      <c r="A34" s="195">
        <v>662</v>
      </c>
      <c r="B34" s="188" t="s">
        <v>665</v>
      </c>
      <c r="C34" s="189" t="s">
        <v>666</v>
      </c>
      <c r="D34" s="624"/>
      <c r="E34" s="624"/>
      <c r="F34" s="623">
        <f t="shared" si="0"/>
        <v>0</v>
      </c>
    </row>
    <row r="35" spans="1:7" customFormat="1" x14ac:dyDescent="0.25">
      <c r="A35" s="195">
        <v>663</v>
      </c>
      <c r="B35" s="188" t="s">
        <v>667</v>
      </c>
      <c r="C35" s="189" t="s">
        <v>668</v>
      </c>
      <c r="D35" s="624"/>
      <c r="E35" s="624"/>
      <c r="F35" s="623">
        <f t="shared" si="0"/>
        <v>0</v>
      </c>
    </row>
    <row r="36" spans="1:7" customFormat="1" x14ac:dyDescent="0.25">
      <c r="A36" s="195">
        <v>664</v>
      </c>
      <c r="B36" s="188" t="s">
        <v>669</v>
      </c>
      <c r="C36" s="189" t="s">
        <v>670</v>
      </c>
      <c r="D36" s="626"/>
      <c r="E36" s="626"/>
      <c r="F36" s="623">
        <f t="shared" si="0"/>
        <v>0</v>
      </c>
      <c r="G36" s="161"/>
    </row>
    <row r="37" spans="1:7" customFormat="1" x14ac:dyDescent="0.25">
      <c r="A37" s="195">
        <v>665</v>
      </c>
      <c r="B37" s="188" t="s">
        <v>671</v>
      </c>
      <c r="C37" s="189" t="s">
        <v>672</v>
      </c>
      <c r="D37" s="626"/>
      <c r="E37" s="626"/>
      <c r="F37" s="623">
        <f t="shared" si="0"/>
        <v>0</v>
      </c>
      <c r="G37" s="161"/>
    </row>
    <row r="38" spans="1:7" x14ac:dyDescent="0.25">
      <c r="A38" s="195">
        <v>667</v>
      </c>
      <c r="B38" s="188" t="s">
        <v>673</v>
      </c>
      <c r="C38" s="189" t="s">
        <v>674</v>
      </c>
      <c r="D38" s="626"/>
      <c r="E38" s="626"/>
      <c r="F38" s="623">
        <f t="shared" si="0"/>
        <v>0</v>
      </c>
    </row>
    <row r="39" spans="1:7" x14ac:dyDescent="0.25">
      <c r="A39" s="195">
        <v>691</v>
      </c>
      <c r="B39" s="188" t="s">
        <v>675</v>
      </c>
      <c r="C39" s="189" t="s">
        <v>676</v>
      </c>
      <c r="D39" s="626">
        <v>3290985.17</v>
      </c>
      <c r="E39" s="626">
        <v>3417018.29</v>
      </c>
      <c r="F39" s="623">
        <f t="shared" si="0"/>
        <v>126033.12000000011</v>
      </c>
    </row>
    <row r="40" spans="1:7" x14ac:dyDescent="0.2">
      <c r="A40" s="913" t="s">
        <v>677</v>
      </c>
      <c r="B40" s="914"/>
      <c r="C40" s="191" t="s">
        <v>678</v>
      </c>
      <c r="D40" s="631">
        <f>SUM(D5:D39)</f>
        <v>8918510.8299999982</v>
      </c>
      <c r="E40" s="632">
        <f>SUM(E5:E39)</f>
        <v>8930430.6900000013</v>
      </c>
      <c r="F40" s="623">
        <f>SUM(F5:F39)</f>
        <v>11919.859999999768</v>
      </c>
    </row>
    <row r="41" spans="1:7" x14ac:dyDescent="0.2">
      <c r="A41" s="915" t="s">
        <v>679</v>
      </c>
      <c r="B41" s="916"/>
      <c r="C41" s="192" t="s">
        <v>680</v>
      </c>
      <c r="D41" s="633">
        <f>D40-T23_Náklady_soc_oblasť!D42</f>
        <v>620332.98999999836</v>
      </c>
      <c r="E41" s="634">
        <f>E40-T23_Náklady_soc_oblasť!E42</f>
        <v>1120995.370000002</v>
      </c>
      <c r="F41" s="623">
        <f>F40-T23_Náklady_soc_oblasť!F42</f>
        <v>500662.37999999942</v>
      </c>
    </row>
    <row r="42" spans="1:7" x14ac:dyDescent="0.25">
      <c r="A42" s="195">
        <v>591</v>
      </c>
      <c r="B42" s="188" t="s">
        <v>681</v>
      </c>
      <c r="C42" s="189" t="s">
        <v>682</v>
      </c>
      <c r="D42" s="635"/>
      <c r="E42" s="624"/>
      <c r="F42" s="623">
        <f>E42-D42</f>
        <v>0</v>
      </c>
    </row>
    <row r="43" spans="1:7" ht="16.5" thickBot="1" x14ac:dyDescent="0.3">
      <c r="A43" s="195">
        <v>595</v>
      </c>
      <c r="B43" s="188" t="s">
        <v>683</v>
      </c>
      <c r="C43" s="189" t="s">
        <v>684</v>
      </c>
      <c r="D43" s="676"/>
      <c r="E43" s="626"/>
      <c r="F43" s="675">
        <f>E43-D43</f>
        <v>0</v>
      </c>
    </row>
    <row r="44" spans="1:7" ht="16.5" thickBot="1" x14ac:dyDescent="0.25">
      <c r="A44" s="917" t="s">
        <v>685</v>
      </c>
      <c r="B44" s="918"/>
      <c r="C44" s="325" t="s">
        <v>686</v>
      </c>
      <c r="D44" s="677">
        <f>D40-T23_Náklady_soc_oblasť!D42-T22_Výnosy_soc_oblasť!D42</f>
        <v>620332.98999999836</v>
      </c>
      <c r="E44" s="678">
        <f>E40-T23_Náklady_soc_oblasť!E42-T22_Výnosy_soc_oblasť!E42</f>
        <v>1120995.370000002</v>
      </c>
      <c r="F44" s="630">
        <f>F40-T23_Náklady_soc_oblasť!F42-T22_Výnosy_soc_oblasť!F42</f>
        <v>500662.37999999942</v>
      </c>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
  <sheetViews>
    <sheetView zoomScaleNormal="100" workbookViewId="0">
      <pane xSplit="3" ySplit="3" topLeftCell="D5" activePane="bottomRight" state="frozen"/>
      <selection pane="topRight" activeCell="D1" sqref="D1"/>
      <selection pane="bottomLeft" activeCell="A4" sqref="A4"/>
      <selection pane="bottomRight" activeCell="D26" sqref="D26"/>
    </sheetView>
  </sheetViews>
  <sheetFormatPr defaultRowHeight="12.75" x14ac:dyDescent="0.2"/>
  <cols>
    <col min="1" max="1" width="8.28515625" customWidth="1"/>
    <col min="2" max="2" width="42.140625" customWidth="1"/>
    <col min="3" max="3" width="10.140625" customWidth="1"/>
    <col min="4" max="4" width="17.42578125" customWidth="1"/>
    <col min="5" max="5" width="17.85546875" bestFit="1" customWidth="1"/>
    <col min="6" max="6" width="16.5703125" customWidth="1"/>
  </cols>
  <sheetData>
    <row r="1" spans="1:6" ht="61.5" customHeight="1" thickBot="1" x14ac:dyDescent="0.25">
      <c r="A1" s="928" t="s">
        <v>1127</v>
      </c>
      <c r="B1" s="929"/>
      <c r="C1" s="929"/>
      <c r="D1" s="929"/>
      <c r="E1" s="929"/>
      <c r="F1" s="930"/>
    </row>
    <row r="2" spans="1:6" ht="47.25" customHeight="1" thickBot="1" x14ac:dyDescent="0.25">
      <c r="A2" s="925" t="s">
        <v>1257</v>
      </c>
      <c r="B2" s="926"/>
      <c r="C2" s="926"/>
      <c r="D2" s="926"/>
      <c r="E2" s="926"/>
      <c r="F2" s="927"/>
    </row>
    <row r="3" spans="1:6" ht="64.5" customHeight="1" thickBot="1" x14ac:dyDescent="0.25">
      <c r="A3" s="479" t="s">
        <v>537</v>
      </c>
      <c r="B3" s="480" t="s">
        <v>406</v>
      </c>
      <c r="C3" s="481" t="s">
        <v>205</v>
      </c>
      <c r="D3" s="482" t="s">
        <v>966</v>
      </c>
      <c r="E3" s="483" t="s">
        <v>1128</v>
      </c>
      <c r="F3" s="484" t="s">
        <v>1129</v>
      </c>
    </row>
    <row r="4" spans="1:6" ht="15.75" x14ac:dyDescent="0.2">
      <c r="A4" s="475"/>
      <c r="B4" s="476"/>
      <c r="C4" s="476"/>
      <c r="D4" s="477" t="s">
        <v>286</v>
      </c>
      <c r="E4" s="477" t="s">
        <v>287</v>
      </c>
      <c r="F4" s="478" t="s">
        <v>288</v>
      </c>
    </row>
    <row r="5" spans="1:6" ht="15.75" x14ac:dyDescent="0.25">
      <c r="A5" s="274">
        <v>501</v>
      </c>
      <c r="B5" s="176" t="s">
        <v>538</v>
      </c>
      <c r="C5" s="175" t="s">
        <v>539</v>
      </c>
      <c r="D5" s="622">
        <v>911877.62</v>
      </c>
      <c r="E5" s="622">
        <v>731056.74</v>
      </c>
      <c r="F5" s="623">
        <f>E5-D5</f>
        <v>-180820.88</v>
      </c>
    </row>
    <row r="6" spans="1:6" ht="15.75" x14ac:dyDescent="0.25">
      <c r="A6" s="273">
        <v>502</v>
      </c>
      <c r="B6" s="177" t="s">
        <v>540</v>
      </c>
      <c r="C6" s="173" t="s">
        <v>541</v>
      </c>
      <c r="D6" s="624">
        <v>1627756.1</v>
      </c>
      <c r="E6" s="624">
        <v>1565974.18</v>
      </c>
      <c r="F6" s="625">
        <f t="shared" ref="F6:F41" si="0">E6-D6</f>
        <v>-61781.920000000158</v>
      </c>
    </row>
    <row r="7" spans="1:6" ht="15.75" x14ac:dyDescent="0.25">
      <c r="A7" s="273">
        <v>504</v>
      </c>
      <c r="B7" s="177" t="s">
        <v>542</v>
      </c>
      <c r="C7" s="173" t="s">
        <v>543</v>
      </c>
      <c r="D7" s="624">
        <v>53485.03</v>
      </c>
      <c r="E7" s="624">
        <v>48918.05</v>
      </c>
      <c r="F7" s="625">
        <f t="shared" si="0"/>
        <v>-4566.9799999999959</v>
      </c>
    </row>
    <row r="8" spans="1:6" ht="15.75" x14ac:dyDescent="0.25">
      <c r="A8" s="273">
        <v>511</v>
      </c>
      <c r="B8" s="177" t="s">
        <v>544</v>
      </c>
      <c r="C8" s="173" t="s">
        <v>545</v>
      </c>
      <c r="D8" s="624">
        <v>1411302.9</v>
      </c>
      <c r="E8" s="624">
        <v>1005650.63</v>
      </c>
      <c r="F8" s="625">
        <f t="shared" si="0"/>
        <v>-405652.2699999999</v>
      </c>
    </row>
    <row r="9" spans="1:6" ht="15.75" x14ac:dyDescent="0.25">
      <c r="A9" s="273">
        <v>512</v>
      </c>
      <c r="B9" s="177" t="s">
        <v>546</v>
      </c>
      <c r="C9" s="173" t="s">
        <v>547</v>
      </c>
      <c r="D9" s="624">
        <v>694.18</v>
      </c>
      <c r="E9" s="624">
        <v>299.23</v>
      </c>
      <c r="F9" s="625">
        <f t="shared" si="0"/>
        <v>-394.94999999999993</v>
      </c>
    </row>
    <row r="10" spans="1:6" ht="15.75" x14ac:dyDescent="0.25">
      <c r="A10" s="273">
        <v>513</v>
      </c>
      <c r="B10" s="177" t="s">
        <v>548</v>
      </c>
      <c r="C10" s="173" t="s">
        <v>549</v>
      </c>
      <c r="D10" s="624">
        <v>1664.57</v>
      </c>
      <c r="E10" s="624">
        <v>1711.95</v>
      </c>
      <c r="F10" s="625">
        <f t="shared" si="0"/>
        <v>47.380000000000109</v>
      </c>
    </row>
    <row r="11" spans="1:6" ht="15.75" x14ac:dyDescent="0.25">
      <c r="A11" s="273">
        <v>518</v>
      </c>
      <c r="B11" s="177" t="s">
        <v>550</v>
      </c>
      <c r="C11" s="173" t="s">
        <v>551</v>
      </c>
      <c r="D11" s="624">
        <v>420835.86</v>
      </c>
      <c r="E11" s="624">
        <v>435963.83</v>
      </c>
      <c r="F11" s="625">
        <f t="shared" si="0"/>
        <v>15127.97000000003</v>
      </c>
    </row>
    <row r="12" spans="1:6" ht="15.75" x14ac:dyDescent="0.25">
      <c r="A12" s="273">
        <v>521</v>
      </c>
      <c r="B12" s="177" t="s">
        <v>552</v>
      </c>
      <c r="C12" s="173" t="s">
        <v>553</v>
      </c>
      <c r="D12" s="624">
        <v>2137962.65</v>
      </c>
      <c r="E12" s="624">
        <v>2203389.27</v>
      </c>
      <c r="F12" s="625">
        <f t="shared" si="0"/>
        <v>65426.620000000112</v>
      </c>
    </row>
    <row r="13" spans="1:6" ht="15.75" x14ac:dyDescent="0.25">
      <c r="A13" s="273">
        <v>524</v>
      </c>
      <c r="B13" s="177" t="s">
        <v>554</v>
      </c>
      <c r="C13" s="173" t="s">
        <v>555</v>
      </c>
      <c r="D13" s="624">
        <v>729428.18</v>
      </c>
      <c r="E13" s="624">
        <v>747121.14</v>
      </c>
      <c r="F13" s="625">
        <f t="shared" si="0"/>
        <v>17692.959999999963</v>
      </c>
    </row>
    <row r="14" spans="1:6" ht="15.75" x14ac:dyDescent="0.25">
      <c r="A14" s="273">
        <v>525</v>
      </c>
      <c r="B14" s="177" t="s">
        <v>556</v>
      </c>
      <c r="C14" s="173" t="s">
        <v>557</v>
      </c>
      <c r="D14" s="624">
        <v>17471.52</v>
      </c>
      <c r="E14" s="624">
        <v>17631.810000000001</v>
      </c>
      <c r="F14" s="625">
        <f t="shared" si="0"/>
        <v>160.29000000000087</v>
      </c>
    </row>
    <row r="15" spans="1:6" ht="15.75" x14ac:dyDescent="0.25">
      <c r="A15" s="273">
        <v>527</v>
      </c>
      <c r="B15" s="177" t="s">
        <v>558</v>
      </c>
      <c r="C15" s="173" t="s">
        <v>559</v>
      </c>
      <c r="D15" s="624">
        <v>128768.18</v>
      </c>
      <c r="E15" s="624">
        <v>127797.96</v>
      </c>
      <c r="F15" s="625">
        <f t="shared" si="0"/>
        <v>-970.21999999998661</v>
      </c>
    </row>
    <row r="16" spans="1:6" ht="15.75" x14ac:dyDescent="0.25">
      <c r="A16" s="273">
        <v>528</v>
      </c>
      <c r="B16" s="177" t="s">
        <v>560</v>
      </c>
      <c r="C16" s="173" t="s">
        <v>561</v>
      </c>
      <c r="D16" s="624"/>
      <c r="E16" s="624"/>
      <c r="F16" s="625">
        <f t="shared" si="0"/>
        <v>0</v>
      </c>
    </row>
    <row r="17" spans="1:7" ht="15.75" x14ac:dyDescent="0.25">
      <c r="A17" s="273">
        <v>531</v>
      </c>
      <c r="B17" s="177" t="s">
        <v>562</v>
      </c>
      <c r="C17" s="173" t="s">
        <v>563</v>
      </c>
      <c r="D17" s="624"/>
      <c r="E17" s="624"/>
      <c r="F17" s="625">
        <f t="shared" si="0"/>
        <v>0</v>
      </c>
    </row>
    <row r="18" spans="1:7" ht="15.75" x14ac:dyDescent="0.25">
      <c r="A18" s="273">
        <v>532</v>
      </c>
      <c r="B18" s="177" t="s">
        <v>564</v>
      </c>
      <c r="C18" s="173" t="s">
        <v>565</v>
      </c>
      <c r="D18" s="624">
        <v>169820.87</v>
      </c>
      <c r="E18" s="624">
        <v>171391.78</v>
      </c>
      <c r="F18" s="625">
        <f t="shared" si="0"/>
        <v>1570.9100000000035</v>
      </c>
    </row>
    <row r="19" spans="1:7" ht="15.75" x14ac:dyDescent="0.25">
      <c r="A19" s="273">
        <v>538</v>
      </c>
      <c r="B19" s="177" t="s">
        <v>566</v>
      </c>
      <c r="C19" s="173" t="s">
        <v>567</v>
      </c>
      <c r="D19" s="624">
        <v>30658.49</v>
      </c>
      <c r="E19" s="624">
        <v>29424.75</v>
      </c>
      <c r="F19" s="625">
        <f t="shared" si="0"/>
        <v>-1233.7400000000016</v>
      </c>
    </row>
    <row r="20" spans="1:7" ht="15.75" x14ac:dyDescent="0.25">
      <c r="A20" s="273">
        <v>541</v>
      </c>
      <c r="B20" s="177" t="s">
        <v>568</v>
      </c>
      <c r="C20" s="173" t="s">
        <v>569</v>
      </c>
      <c r="D20" s="626"/>
      <c r="E20" s="624"/>
      <c r="F20" s="625">
        <f t="shared" si="0"/>
        <v>0</v>
      </c>
    </row>
    <row r="21" spans="1:7" ht="15.75" x14ac:dyDescent="0.25">
      <c r="A21" s="273">
        <v>542</v>
      </c>
      <c r="B21" s="177" t="s">
        <v>570</v>
      </c>
      <c r="C21" s="173" t="s">
        <v>571</v>
      </c>
      <c r="D21" s="626"/>
      <c r="E21" s="624"/>
      <c r="F21" s="625">
        <f t="shared" si="0"/>
        <v>0</v>
      </c>
    </row>
    <row r="22" spans="1:7" ht="15.75" x14ac:dyDescent="0.25">
      <c r="A22" s="273">
        <v>543</v>
      </c>
      <c r="B22" s="177" t="s">
        <v>572</v>
      </c>
      <c r="C22" s="173" t="s">
        <v>573</v>
      </c>
      <c r="D22" s="624">
        <v>1597.49</v>
      </c>
      <c r="E22" s="624"/>
      <c r="F22" s="625">
        <f t="shared" si="0"/>
        <v>-1597.49</v>
      </c>
    </row>
    <row r="23" spans="1:7" ht="15.75" x14ac:dyDescent="0.25">
      <c r="A23" s="273">
        <v>544</v>
      </c>
      <c r="B23" s="177" t="s">
        <v>574</v>
      </c>
      <c r="C23" s="173" t="s">
        <v>575</v>
      </c>
      <c r="D23" s="624"/>
      <c r="E23" s="624"/>
      <c r="F23" s="625">
        <f t="shared" si="0"/>
        <v>0</v>
      </c>
    </row>
    <row r="24" spans="1:7" ht="15.75" x14ac:dyDescent="0.25">
      <c r="A24" s="273">
        <v>545</v>
      </c>
      <c r="B24" s="177" t="s">
        <v>576</v>
      </c>
      <c r="C24" s="173" t="s">
        <v>577</v>
      </c>
      <c r="D24" s="624"/>
      <c r="E24" s="624"/>
      <c r="F24" s="625">
        <f t="shared" si="0"/>
        <v>0</v>
      </c>
    </row>
    <row r="25" spans="1:7" ht="15.75" x14ac:dyDescent="0.25">
      <c r="A25" s="273">
        <v>546</v>
      </c>
      <c r="B25" s="177" t="s">
        <v>578</v>
      </c>
      <c r="C25" s="173" t="s">
        <v>579</v>
      </c>
      <c r="D25" s="624"/>
      <c r="E25" s="624"/>
      <c r="F25" s="625">
        <f t="shared" si="0"/>
        <v>0</v>
      </c>
    </row>
    <row r="26" spans="1:7" ht="15.75" x14ac:dyDescent="0.25">
      <c r="A26" s="273">
        <v>547</v>
      </c>
      <c r="B26" s="177" t="s">
        <v>580</v>
      </c>
      <c r="C26" s="173" t="s">
        <v>581</v>
      </c>
      <c r="D26" s="624"/>
      <c r="E26" s="624"/>
      <c r="F26" s="625">
        <f t="shared" si="0"/>
        <v>0</v>
      </c>
    </row>
    <row r="27" spans="1:7" ht="15.75" x14ac:dyDescent="0.25">
      <c r="A27" s="273">
        <v>548</v>
      </c>
      <c r="B27" s="177" t="s">
        <v>582</v>
      </c>
      <c r="C27" s="173" t="s">
        <v>583</v>
      </c>
      <c r="D27" s="624"/>
      <c r="E27" s="624">
        <v>77.22</v>
      </c>
      <c r="F27" s="625">
        <f t="shared" si="0"/>
        <v>77.22</v>
      </c>
    </row>
    <row r="28" spans="1:7" ht="15.75" x14ac:dyDescent="0.25">
      <c r="A28" s="273">
        <v>549</v>
      </c>
      <c r="B28" s="177" t="s">
        <v>584</v>
      </c>
      <c r="C28" s="173" t="s">
        <v>585</v>
      </c>
      <c r="D28" s="624">
        <v>165275.74</v>
      </c>
      <c r="E28" s="624">
        <f>'T19-Štip_ z vlastných '!E6</f>
        <v>235118.28</v>
      </c>
      <c r="F28" s="625">
        <f t="shared" si="0"/>
        <v>69842.540000000008</v>
      </c>
      <c r="G28" s="367"/>
    </row>
    <row r="29" spans="1:7" ht="15.75" x14ac:dyDescent="0.25">
      <c r="A29" s="273">
        <v>551</v>
      </c>
      <c r="B29" s="177" t="s">
        <v>586</v>
      </c>
      <c r="C29" s="173" t="s">
        <v>587</v>
      </c>
      <c r="D29" s="624">
        <v>256699.8</v>
      </c>
      <c r="E29" s="624">
        <v>263387.26</v>
      </c>
      <c r="F29" s="625">
        <f t="shared" si="0"/>
        <v>6687.460000000021</v>
      </c>
    </row>
    <row r="30" spans="1:7" ht="15.75" x14ac:dyDescent="0.25">
      <c r="A30" s="275">
        <v>552</v>
      </c>
      <c r="B30" s="177" t="s">
        <v>718</v>
      </c>
      <c r="C30" s="173" t="s">
        <v>588</v>
      </c>
      <c r="D30" s="624">
        <v>3180.66</v>
      </c>
      <c r="E30" s="624"/>
      <c r="F30" s="625">
        <f t="shared" si="0"/>
        <v>-3180.66</v>
      </c>
    </row>
    <row r="31" spans="1:7" ht="15.75" x14ac:dyDescent="0.25">
      <c r="A31" s="275">
        <v>553</v>
      </c>
      <c r="B31" s="177" t="s">
        <v>589</v>
      </c>
      <c r="C31" s="173" t="s">
        <v>590</v>
      </c>
      <c r="D31" s="624"/>
      <c r="E31" s="624"/>
      <c r="F31" s="625">
        <f t="shared" si="0"/>
        <v>0</v>
      </c>
    </row>
    <row r="32" spans="1:7" ht="15.75" x14ac:dyDescent="0.25">
      <c r="A32" s="275">
        <v>554</v>
      </c>
      <c r="B32" s="177" t="s">
        <v>591</v>
      </c>
      <c r="C32" s="173" t="s">
        <v>592</v>
      </c>
      <c r="D32" s="624"/>
      <c r="E32" s="624"/>
      <c r="F32" s="625">
        <f t="shared" si="0"/>
        <v>0</v>
      </c>
    </row>
    <row r="33" spans="1:7" ht="15.75" x14ac:dyDescent="0.25">
      <c r="A33" s="275">
        <v>555</v>
      </c>
      <c r="B33" s="177" t="s">
        <v>593</v>
      </c>
      <c r="C33" s="173" t="s">
        <v>594</v>
      </c>
      <c r="D33" s="624"/>
      <c r="E33" s="624"/>
      <c r="F33" s="625">
        <f t="shared" si="0"/>
        <v>0</v>
      </c>
    </row>
    <row r="34" spans="1:7" ht="15.75" x14ac:dyDescent="0.25">
      <c r="A34" s="275">
        <v>556</v>
      </c>
      <c r="B34" s="177" t="s">
        <v>595</v>
      </c>
      <c r="C34" s="173" t="s">
        <v>596</v>
      </c>
      <c r="D34" s="624">
        <v>200065</v>
      </c>
      <c r="E34" s="624">
        <v>193447.24</v>
      </c>
      <c r="F34" s="625">
        <f t="shared" si="0"/>
        <v>-6617.7600000000093</v>
      </c>
      <c r="G34" s="367"/>
    </row>
    <row r="35" spans="1:7" ht="15.75" x14ac:dyDescent="0.25">
      <c r="A35" s="275">
        <v>557</v>
      </c>
      <c r="B35" s="177" t="s">
        <v>597</v>
      </c>
      <c r="C35" s="173" t="s">
        <v>598</v>
      </c>
      <c r="D35" s="624"/>
      <c r="E35" s="624"/>
      <c r="F35" s="625">
        <f t="shared" si="0"/>
        <v>0</v>
      </c>
    </row>
    <row r="36" spans="1:7" ht="15.75" x14ac:dyDescent="0.25">
      <c r="A36" s="275">
        <v>558</v>
      </c>
      <c r="B36" s="177" t="s">
        <v>599</v>
      </c>
      <c r="C36" s="173" t="s">
        <v>600</v>
      </c>
      <c r="D36" s="624"/>
      <c r="E36" s="624"/>
      <c r="F36" s="625">
        <f t="shared" si="0"/>
        <v>0</v>
      </c>
    </row>
    <row r="37" spans="1:7" ht="20.25" customHeight="1" x14ac:dyDescent="0.25">
      <c r="A37" s="275">
        <v>561</v>
      </c>
      <c r="B37" s="177" t="s">
        <v>602</v>
      </c>
      <c r="C37" s="173" t="s">
        <v>601</v>
      </c>
      <c r="D37" s="624"/>
      <c r="E37" s="624"/>
      <c r="F37" s="625">
        <f t="shared" si="0"/>
        <v>0</v>
      </c>
    </row>
    <row r="38" spans="1:7" ht="15.75" x14ac:dyDescent="0.25">
      <c r="A38" s="275">
        <v>562</v>
      </c>
      <c r="B38" s="177" t="s">
        <v>604</v>
      </c>
      <c r="C38" s="173" t="s">
        <v>603</v>
      </c>
      <c r="D38" s="624">
        <v>29633</v>
      </c>
      <c r="E38" s="624">
        <v>31074</v>
      </c>
      <c r="F38" s="625">
        <f t="shared" si="0"/>
        <v>1441</v>
      </c>
    </row>
    <row r="39" spans="1:7" ht="15.75" x14ac:dyDescent="0.25">
      <c r="A39" s="275">
        <v>563</v>
      </c>
      <c r="B39" s="177" t="s">
        <v>606</v>
      </c>
      <c r="C39" s="173" t="s">
        <v>605</v>
      </c>
      <c r="D39" s="624"/>
      <c r="E39" s="624"/>
      <c r="F39" s="625">
        <f t="shared" si="0"/>
        <v>0</v>
      </c>
    </row>
    <row r="40" spans="1:7" ht="15.75" x14ac:dyDescent="0.25">
      <c r="A40" s="276">
        <v>565</v>
      </c>
      <c r="B40" s="280" t="s">
        <v>717</v>
      </c>
      <c r="C40" s="173" t="s">
        <v>607</v>
      </c>
      <c r="D40" s="626"/>
      <c r="E40" s="626"/>
      <c r="F40" s="625">
        <f t="shared" si="0"/>
        <v>0</v>
      </c>
    </row>
    <row r="41" spans="1:7" ht="16.5" thickBot="1" x14ac:dyDescent="0.3">
      <c r="A41" s="276">
        <v>567</v>
      </c>
      <c r="B41" s="178" t="s">
        <v>608</v>
      </c>
      <c r="C41" s="174" t="s">
        <v>609</v>
      </c>
      <c r="D41" s="626"/>
      <c r="E41" s="626"/>
      <c r="F41" s="627">
        <f t="shared" si="0"/>
        <v>0</v>
      </c>
    </row>
    <row r="42" spans="1:7" ht="24.75" customHeight="1" thickBot="1" x14ac:dyDescent="0.25">
      <c r="A42" s="931" t="s">
        <v>778</v>
      </c>
      <c r="B42" s="932"/>
      <c r="C42" s="272" t="s">
        <v>610</v>
      </c>
      <c r="D42" s="628">
        <f>SUM(D5:D41)</f>
        <v>8298177.8399999999</v>
      </c>
      <c r="E42" s="629">
        <f>SUM(E5:E41)</f>
        <v>7809435.3199999994</v>
      </c>
      <c r="F42" s="630">
        <f>SUM(F5:F41)</f>
        <v>-488742.51999999967</v>
      </c>
    </row>
    <row r="43" spans="1:7" x14ac:dyDescent="0.2">
      <c r="B43" s="163"/>
      <c r="C43" s="163"/>
      <c r="D43" s="163"/>
      <c r="E43" s="163"/>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934" t="s">
        <v>529</v>
      </c>
      <c r="B1" s="935"/>
      <c r="C1" s="935"/>
      <c r="D1" s="935"/>
      <c r="E1" s="935"/>
      <c r="F1" s="936"/>
    </row>
    <row r="2" spans="1:6" ht="19.5" customHeight="1" x14ac:dyDescent="0.25">
      <c r="A2" s="933" t="s">
        <v>396</v>
      </c>
      <c r="B2" s="933"/>
      <c r="C2" s="933"/>
      <c r="D2" s="933"/>
      <c r="E2" s="933"/>
      <c r="F2" s="933"/>
    </row>
    <row r="3" spans="1:6" ht="42" customHeight="1" x14ac:dyDescent="0.2">
      <c r="A3" s="164" t="s">
        <v>407</v>
      </c>
      <c r="B3" s="165" t="s">
        <v>408</v>
      </c>
      <c r="C3" s="172" t="s">
        <v>531</v>
      </c>
      <c r="D3" s="165" t="s">
        <v>526</v>
      </c>
      <c r="E3" s="165" t="s">
        <v>527</v>
      </c>
      <c r="F3" s="165" t="s">
        <v>528</v>
      </c>
    </row>
    <row r="4" spans="1:6" ht="15.75" x14ac:dyDescent="0.25">
      <c r="A4" s="166" t="s">
        <v>409</v>
      </c>
      <c r="B4" s="166" t="s">
        <v>410</v>
      </c>
      <c r="C4" s="167"/>
      <c r="D4" s="167"/>
      <c r="E4" s="167"/>
      <c r="F4" s="167"/>
    </row>
    <row r="5" spans="1:6" ht="15.75" x14ac:dyDescent="0.25">
      <c r="A5" s="171" t="s">
        <v>411</v>
      </c>
      <c r="B5" s="166" t="s">
        <v>412</v>
      </c>
      <c r="C5" s="167"/>
      <c r="D5" s="167"/>
      <c r="E5" s="167"/>
      <c r="F5" s="167"/>
    </row>
    <row r="6" spans="1:6" ht="15.75" x14ac:dyDescent="0.25">
      <c r="A6" s="166" t="s">
        <v>413</v>
      </c>
      <c r="B6" s="166" t="s">
        <v>414</v>
      </c>
      <c r="C6" s="167"/>
      <c r="D6" s="167"/>
      <c r="E6" s="167"/>
      <c r="F6" s="167"/>
    </row>
    <row r="7" spans="1:6" ht="15.75" x14ac:dyDescent="0.25">
      <c r="A7" s="166" t="s">
        <v>415</v>
      </c>
      <c r="B7" s="166" t="s">
        <v>416</v>
      </c>
      <c r="C7" s="167"/>
      <c r="D7" s="167"/>
      <c r="E7" s="167"/>
      <c r="F7" s="167"/>
    </row>
    <row r="8" spans="1:6" ht="15.75" x14ac:dyDescent="0.25">
      <c r="A8" s="170" t="s">
        <v>530</v>
      </c>
      <c r="B8" s="166" t="s">
        <v>417</v>
      </c>
      <c r="C8" s="167"/>
      <c r="D8" s="167"/>
      <c r="E8" s="167"/>
      <c r="F8" s="167"/>
    </row>
    <row r="9" spans="1:6" ht="15.75" x14ac:dyDescent="0.25">
      <c r="A9" s="166" t="s">
        <v>418</v>
      </c>
      <c r="B9" s="166" t="s">
        <v>419</v>
      </c>
      <c r="C9" s="167"/>
      <c r="D9" s="167"/>
      <c r="E9" s="167"/>
      <c r="F9" s="167"/>
    </row>
    <row r="10" spans="1:6" ht="15.75" x14ac:dyDescent="0.25">
      <c r="A10" s="166" t="s">
        <v>420</v>
      </c>
      <c r="B10" s="166" t="s">
        <v>421</v>
      </c>
      <c r="C10" s="167"/>
      <c r="D10" s="167"/>
      <c r="E10" s="167"/>
      <c r="F10" s="167"/>
    </row>
    <row r="11" spans="1:6" ht="15.75" x14ac:dyDescent="0.25">
      <c r="A11" s="166" t="s">
        <v>422</v>
      </c>
      <c r="B11" s="166" t="s">
        <v>423</v>
      </c>
      <c r="C11" s="167"/>
      <c r="D11" s="167"/>
      <c r="E11" s="167"/>
      <c r="F11" s="167"/>
    </row>
    <row r="12" spans="1:6" ht="15.75" x14ac:dyDescent="0.25">
      <c r="A12" s="171" t="s">
        <v>424</v>
      </c>
      <c r="B12" s="166" t="s">
        <v>425</v>
      </c>
      <c r="C12" s="167"/>
      <c r="D12" s="167"/>
      <c r="E12" s="167"/>
      <c r="F12" s="167"/>
    </row>
    <row r="13" spans="1:6" ht="15.75" x14ac:dyDescent="0.25">
      <c r="A13" s="166" t="s">
        <v>426</v>
      </c>
      <c r="B13" s="166" t="s">
        <v>427</v>
      </c>
      <c r="C13" s="167"/>
      <c r="D13" s="167"/>
      <c r="E13" s="167"/>
      <c r="F13" s="167"/>
    </row>
    <row r="14" spans="1:6" ht="15.75" x14ac:dyDescent="0.25">
      <c r="A14" s="166" t="s">
        <v>428</v>
      </c>
      <c r="B14" s="166" t="s">
        <v>429</v>
      </c>
      <c r="C14" s="167"/>
      <c r="D14" s="167"/>
      <c r="E14" s="167"/>
      <c r="F14" s="167"/>
    </row>
    <row r="15" spans="1:6" ht="15.75" x14ac:dyDescent="0.25">
      <c r="A15" s="166" t="s">
        <v>430</v>
      </c>
      <c r="B15" s="166" t="s">
        <v>431</v>
      </c>
      <c r="C15" s="167"/>
      <c r="D15" s="167"/>
      <c r="E15" s="167"/>
      <c r="F15" s="167"/>
    </row>
    <row r="16" spans="1:6" ht="15.75" x14ac:dyDescent="0.25">
      <c r="A16" s="166" t="s">
        <v>432</v>
      </c>
      <c r="B16" s="166" t="s">
        <v>433</v>
      </c>
      <c r="C16" s="167"/>
      <c r="D16" s="167"/>
      <c r="E16" s="167"/>
      <c r="F16" s="167"/>
    </row>
    <row r="17" spans="1:6" ht="15.75" x14ac:dyDescent="0.25">
      <c r="A17" s="166" t="s">
        <v>434</v>
      </c>
      <c r="B17" s="166" t="s">
        <v>435</v>
      </c>
      <c r="C17" s="167"/>
      <c r="D17" s="167"/>
      <c r="E17" s="167"/>
      <c r="F17" s="167"/>
    </row>
    <row r="18" spans="1:6" ht="15.75" x14ac:dyDescent="0.25">
      <c r="A18" s="166" t="s">
        <v>436</v>
      </c>
      <c r="B18" s="166" t="s">
        <v>437</v>
      </c>
      <c r="C18" s="167"/>
      <c r="D18" s="167"/>
      <c r="E18" s="167"/>
      <c r="F18" s="167"/>
    </row>
    <row r="19" spans="1:6" ht="15.75" x14ac:dyDescent="0.25">
      <c r="A19" s="166" t="s">
        <v>438</v>
      </c>
      <c r="B19" s="166" t="s">
        <v>439</v>
      </c>
      <c r="C19" s="167"/>
      <c r="D19" s="167"/>
      <c r="E19" s="167"/>
      <c r="F19" s="167"/>
    </row>
    <row r="20" spans="1:6" ht="15.75" x14ac:dyDescent="0.25">
      <c r="A20" s="166" t="s">
        <v>440</v>
      </c>
      <c r="B20" s="166" t="s">
        <v>441</v>
      </c>
      <c r="C20" s="167"/>
      <c r="D20" s="167"/>
      <c r="E20" s="167"/>
      <c r="F20" s="167"/>
    </row>
    <row r="21" spans="1:6" ht="15.75" x14ac:dyDescent="0.25">
      <c r="A21" s="166" t="s">
        <v>442</v>
      </c>
      <c r="B21" s="166" t="s">
        <v>443</v>
      </c>
      <c r="C21" s="167"/>
      <c r="D21" s="167"/>
      <c r="E21" s="167"/>
      <c r="F21" s="167"/>
    </row>
    <row r="22" spans="1:6" ht="15.75" x14ac:dyDescent="0.25">
      <c r="A22" s="166" t="s">
        <v>444</v>
      </c>
      <c r="B22" s="166" t="s">
        <v>445</v>
      </c>
      <c r="C22" s="167"/>
      <c r="D22" s="167"/>
      <c r="E22" s="167"/>
      <c r="F22" s="167"/>
    </row>
    <row r="23" spans="1:6" ht="15.75" x14ac:dyDescent="0.25">
      <c r="A23" s="166" t="s">
        <v>446</v>
      </c>
      <c r="B23" s="166" t="s">
        <v>447</v>
      </c>
      <c r="C23" s="167"/>
      <c r="D23" s="167"/>
      <c r="E23" s="167"/>
      <c r="F23" s="167"/>
    </row>
    <row r="24" spans="1:6" ht="15.75" x14ac:dyDescent="0.25">
      <c r="A24" s="171" t="s">
        <v>448</v>
      </c>
      <c r="B24" s="166" t="s">
        <v>449</v>
      </c>
      <c r="C24" s="167"/>
      <c r="D24" s="167"/>
      <c r="E24" s="167"/>
      <c r="F24" s="167"/>
    </row>
    <row r="25" spans="1:6" ht="15.75" x14ac:dyDescent="0.25">
      <c r="A25" s="166" t="s">
        <v>450</v>
      </c>
      <c r="B25" s="166" t="s">
        <v>451</v>
      </c>
      <c r="C25" s="167"/>
      <c r="D25" s="167"/>
      <c r="E25" s="167"/>
      <c r="F25" s="167"/>
    </row>
    <row r="26" spans="1:6" ht="15.75" x14ac:dyDescent="0.25">
      <c r="A26" s="166" t="s">
        <v>452</v>
      </c>
      <c r="B26" s="166" t="s">
        <v>453</v>
      </c>
      <c r="C26" s="167"/>
      <c r="D26" s="167"/>
      <c r="E26" s="167"/>
      <c r="F26" s="167"/>
    </row>
    <row r="27" spans="1:6" ht="15.75" x14ac:dyDescent="0.25">
      <c r="A27" s="166" t="s">
        <v>454</v>
      </c>
      <c r="B27" s="166" t="s">
        <v>455</v>
      </c>
      <c r="C27" s="167"/>
      <c r="D27" s="167"/>
      <c r="E27" s="167"/>
      <c r="F27" s="167"/>
    </row>
    <row r="28" spans="1:6" ht="15.75" x14ac:dyDescent="0.25">
      <c r="A28" s="166" t="s">
        <v>456</v>
      </c>
      <c r="B28" s="166" t="s">
        <v>457</v>
      </c>
      <c r="C28" s="167"/>
      <c r="D28" s="167"/>
      <c r="E28" s="167"/>
      <c r="F28" s="167"/>
    </row>
    <row r="29" spans="1:6" ht="15.75" x14ac:dyDescent="0.25">
      <c r="A29" s="166" t="s">
        <v>458</v>
      </c>
      <c r="B29" s="166" t="s">
        <v>459</v>
      </c>
      <c r="C29" s="167"/>
      <c r="D29" s="167"/>
      <c r="E29" s="167"/>
      <c r="F29" s="167"/>
    </row>
    <row r="30" spans="1:6" ht="15.75" x14ac:dyDescent="0.25">
      <c r="A30" s="166" t="s">
        <v>460</v>
      </c>
      <c r="B30" s="166" t="s">
        <v>461</v>
      </c>
      <c r="C30" s="167"/>
      <c r="D30" s="167"/>
      <c r="E30" s="167"/>
      <c r="F30" s="167"/>
    </row>
    <row r="31" spans="1:6" ht="15.75" x14ac:dyDescent="0.25">
      <c r="A31" s="166" t="s">
        <v>462</v>
      </c>
      <c r="B31" s="166" t="s">
        <v>463</v>
      </c>
      <c r="C31" s="167"/>
      <c r="D31" s="167"/>
      <c r="E31" s="167"/>
      <c r="F31" s="167"/>
    </row>
    <row r="32" spans="1:6" ht="15.75" x14ac:dyDescent="0.25">
      <c r="A32" s="166" t="s">
        <v>464</v>
      </c>
      <c r="B32" s="166" t="s">
        <v>465</v>
      </c>
      <c r="C32" s="167"/>
      <c r="D32" s="167"/>
      <c r="E32" s="167"/>
      <c r="F32" s="167"/>
    </row>
    <row r="33" spans="1:6" ht="15.75" x14ac:dyDescent="0.25">
      <c r="A33" s="171" t="s">
        <v>466</v>
      </c>
      <c r="B33" s="166" t="s">
        <v>467</v>
      </c>
      <c r="C33" s="167"/>
      <c r="D33" s="167"/>
      <c r="E33" s="167"/>
      <c r="F33" s="167"/>
    </row>
    <row r="34" spans="1:6" ht="15.75" x14ac:dyDescent="0.25">
      <c r="A34" s="166" t="s">
        <v>468</v>
      </c>
      <c r="B34" s="166" t="s">
        <v>469</v>
      </c>
      <c r="C34" s="167"/>
      <c r="D34" s="167"/>
      <c r="E34" s="167"/>
      <c r="F34" s="167"/>
    </row>
    <row r="35" spans="1:6" ht="15.75" x14ac:dyDescent="0.25">
      <c r="A35" s="166" t="s">
        <v>470</v>
      </c>
      <c r="B35" s="166" t="s">
        <v>471</v>
      </c>
      <c r="C35" s="167"/>
      <c r="D35" s="167"/>
      <c r="E35" s="167"/>
      <c r="F35" s="167"/>
    </row>
    <row r="36" spans="1:6" ht="15.75" x14ac:dyDescent="0.25">
      <c r="A36" s="166" t="s">
        <v>472</v>
      </c>
      <c r="B36" s="166" t="s">
        <v>473</v>
      </c>
      <c r="C36" s="167"/>
      <c r="D36" s="167"/>
      <c r="E36" s="167"/>
      <c r="F36" s="167"/>
    </row>
    <row r="37" spans="1:6" ht="15.75" x14ac:dyDescent="0.25">
      <c r="A37" s="166" t="s">
        <v>474</v>
      </c>
      <c r="B37" s="166" t="s">
        <v>475</v>
      </c>
      <c r="C37" s="167"/>
      <c r="D37" s="167"/>
      <c r="E37" s="167"/>
      <c r="F37" s="167"/>
    </row>
    <row r="38" spans="1:6" ht="15.75" x14ac:dyDescent="0.25">
      <c r="A38" s="166" t="s">
        <v>476</v>
      </c>
      <c r="B38" s="166" t="s">
        <v>477</v>
      </c>
      <c r="C38" s="167"/>
      <c r="D38" s="167"/>
      <c r="E38" s="167"/>
      <c r="F38" s="167"/>
    </row>
    <row r="39" spans="1:6" ht="15.75" x14ac:dyDescent="0.25">
      <c r="A39" s="166" t="s">
        <v>478</v>
      </c>
      <c r="B39" s="166" t="s">
        <v>479</v>
      </c>
      <c r="C39" s="167"/>
      <c r="D39" s="167"/>
      <c r="E39" s="167"/>
      <c r="F39" s="167"/>
    </row>
    <row r="40" spans="1:6" ht="15.75" x14ac:dyDescent="0.25">
      <c r="A40" s="171" t="s">
        <v>480</v>
      </c>
      <c r="B40" s="166" t="s">
        <v>481</v>
      </c>
      <c r="C40" s="167"/>
      <c r="D40" s="167"/>
      <c r="E40" s="167"/>
      <c r="F40" s="167"/>
    </row>
    <row r="41" spans="1:6" ht="15.75" x14ac:dyDescent="0.25">
      <c r="A41" s="166" t="s">
        <v>482</v>
      </c>
      <c r="B41" s="166" t="s">
        <v>483</v>
      </c>
      <c r="C41" s="167"/>
      <c r="D41" s="167"/>
      <c r="E41" s="167"/>
      <c r="F41" s="167"/>
    </row>
    <row r="42" spans="1:6" ht="15.75" x14ac:dyDescent="0.25">
      <c r="A42" s="166" t="s">
        <v>484</v>
      </c>
      <c r="B42" s="166" t="s">
        <v>485</v>
      </c>
      <c r="C42" s="167"/>
      <c r="D42" s="167"/>
      <c r="E42" s="167"/>
      <c r="F42" s="167"/>
    </row>
    <row r="43" spans="1:6" ht="15.75" x14ac:dyDescent="0.25">
      <c r="A43" s="166" t="s">
        <v>486</v>
      </c>
      <c r="B43" s="166" t="s">
        <v>487</v>
      </c>
      <c r="C43" s="167"/>
      <c r="D43" s="167"/>
      <c r="E43" s="167"/>
      <c r="F43" s="167"/>
    </row>
    <row r="44" spans="1:6" ht="15.75" x14ac:dyDescent="0.25">
      <c r="A44" s="166" t="s">
        <v>488</v>
      </c>
      <c r="B44" s="166" t="s">
        <v>489</v>
      </c>
      <c r="C44" s="167"/>
      <c r="D44" s="167"/>
      <c r="E44" s="167"/>
      <c r="F44" s="167"/>
    </row>
    <row r="45" spans="1:6" ht="15.75" x14ac:dyDescent="0.25">
      <c r="A45" s="171" t="s">
        <v>490</v>
      </c>
      <c r="B45" s="166" t="s">
        <v>491</v>
      </c>
      <c r="C45" s="167"/>
      <c r="D45" s="167"/>
      <c r="E45" s="167"/>
      <c r="F45" s="167"/>
    </row>
    <row r="46" spans="1:6" ht="15.75" x14ac:dyDescent="0.25">
      <c r="A46" s="166" t="s">
        <v>492</v>
      </c>
      <c r="B46" s="166" t="s">
        <v>493</v>
      </c>
      <c r="C46" s="167"/>
      <c r="D46" s="167"/>
      <c r="E46" s="167"/>
      <c r="F46" s="167"/>
    </row>
    <row r="47" spans="1:6" ht="15.75" x14ac:dyDescent="0.25">
      <c r="A47" s="166" t="s">
        <v>484</v>
      </c>
      <c r="B47" s="166" t="s">
        <v>494</v>
      </c>
      <c r="C47" s="167"/>
      <c r="D47" s="167"/>
      <c r="E47" s="167"/>
      <c r="F47" s="167"/>
    </row>
    <row r="48" spans="1:6" ht="15.75" x14ac:dyDescent="0.25">
      <c r="A48" s="166" t="s">
        <v>495</v>
      </c>
      <c r="B48" s="166" t="s">
        <v>496</v>
      </c>
      <c r="C48" s="167"/>
      <c r="D48" s="167"/>
      <c r="E48" s="167"/>
      <c r="F48" s="167"/>
    </row>
    <row r="49" spans="1:6" ht="15.75" x14ac:dyDescent="0.25">
      <c r="A49" s="166" t="s">
        <v>497</v>
      </c>
      <c r="B49" s="166" t="s">
        <v>498</v>
      </c>
      <c r="C49" s="167"/>
      <c r="D49" s="167"/>
      <c r="E49" s="167"/>
      <c r="F49" s="167"/>
    </row>
    <row r="50" spans="1:6" ht="15.75" x14ac:dyDescent="0.25">
      <c r="A50" s="166" t="s">
        <v>499</v>
      </c>
      <c r="B50" s="166" t="s">
        <v>500</v>
      </c>
      <c r="C50" s="167"/>
      <c r="D50" s="167"/>
      <c r="E50" s="167"/>
      <c r="F50" s="167"/>
    </row>
    <row r="51" spans="1:6" ht="15.75" x14ac:dyDescent="0.25">
      <c r="A51" s="166" t="s">
        <v>486</v>
      </c>
      <c r="B51" s="166" t="s">
        <v>501</v>
      </c>
      <c r="C51" s="167"/>
      <c r="D51" s="167"/>
      <c r="E51" s="167"/>
      <c r="F51" s="167"/>
    </row>
    <row r="52" spans="1:6" ht="15.75" x14ac:dyDescent="0.25">
      <c r="A52" s="166" t="s">
        <v>502</v>
      </c>
      <c r="B52" s="166" t="s">
        <v>503</v>
      </c>
      <c r="C52" s="167"/>
      <c r="D52" s="167"/>
      <c r="E52" s="167"/>
      <c r="F52" s="167"/>
    </row>
    <row r="53" spans="1:6" ht="15.75" x14ac:dyDescent="0.25">
      <c r="A53" s="166" t="s">
        <v>488</v>
      </c>
      <c r="B53" s="166" t="s">
        <v>504</v>
      </c>
      <c r="C53" s="167"/>
      <c r="D53" s="167"/>
      <c r="E53" s="167"/>
      <c r="F53" s="167"/>
    </row>
    <row r="54" spans="1:6" ht="15.75" x14ac:dyDescent="0.25">
      <c r="A54" s="171" t="s">
        <v>505</v>
      </c>
      <c r="B54" s="166" t="s">
        <v>506</v>
      </c>
      <c r="C54" s="167"/>
      <c r="D54" s="167"/>
      <c r="E54" s="167"/>
      <c r="F54" s="167"/>
    </row>
    <row r="55" spans="1:6" ht="15.75" x14ac:dyDescent="0.25">
      <c r="A55" s="166" t="s">
        <v>507</v>
      </c>
      <c r="B55" s="166" t="s">
        <v>508</v>
      </c>
      <c r="C55" s="167"/>
      <c r="D55" s="167"/>
      <c r="E55" s="167"/>
      <c r="F55" s="167"/>
    </row>
    <row r="56" spans="1:6" ht="15.75" x14ac:dyDescent="0.25">
      <c r="A56" s="166" t="s">
        <v>509</v>
      </c>
      <c r="B56" s="166" t="s">
        <v>510</v>
      </c>
      <c r="C56" s="167"/>
      <c r="D56" s="167"/>
      <c r="E56" s="167"/>
      <c r="F56" s="167"/>
    </row>
    <row r="57" spans="1:6" ht="15.75" x14ac:dyDescent="0.25">
      <c r="A57" s="166" t="s">
        <v>511</v>
      </c>
      <c r="B57" s="166" t="s">
        <v>512</v>
      </c>
      <c r="C57" s="167"/>
      <c r="D57" s="167"/>
      <c r="E57" s="167"/>
      <c r="F57" s="167"/>
    </row>
    <row r="58" spans="1:6" ht="15.75" x14ac:dyDescent="0.25">
      <c r="A58" s="166" t="s">
        <v>513</v>
      </c>
      <c r="B58" s="166" t="s">
        <v>514</v>
      </c>
      <c r="C58" s="167"/>
      <c r="D58" s="167"/>
      <c r="E58" s="167"/>
      <c r="F58" s="167"/>
    </row>
    <row r="59" spans="1:6" ht="15.75" x14ac:dyDescent="0.25">
      <c r="A59" s="166" t="s">
        <v>515</v>
      </c>
      <c r="B59" s="166" t="s">
        <v>516</v>
      </c>
      <c r="C59" s="167"/>
      <c r="D59" s="167"/>
      <c r="E59" s="167"/>
      <c r="F59" s="167"/>
    </row>
    <row r="60" spans="1:6" ht="15.75" x14ac:dyDescent="0.25">
      <c r="A60" s="166" t="s">
        <v>517</v>
      </c>
      <c r="B60" s="166" t="s">
        <v>518</v>
      </c>
      <c r="C60" s="167"/>
      <c r="D60" s="167"/>
      <c r="E60" s="167"/>
      <c r="F60" s="167"/>
    </row>
    <row r="61" spans="1:6" ht="15.75" x14ac:dyDescent="0.25">
      <c r="A61" s="171" t="s">
        <v>519</v>
      </c>
      <c r="B61" s="166" t="s">
        <v>520</v>
      </c>
      <c r="C61" s="167"/>
      <c r="D61" s="167"/>
      <c r="E61" s="167"/>
      <c r="F61" s="167"/>
    </row>
    <row r="62" spans="1:6" ht="15.75" x14ac:dyDescent="0.25">
      <c r="A62" s="166" t="s">
        <v>521</v>
      </c>
      <c r="B62" s="166" t="s">
        <v>522</v>
      </c>
      <c r="C62" s="167"/>
      <c r="D62" s="167"/>
      <c r="E62" s="167"/>
      <c r="F62" s="167"/>
    </row>
    <row r="63" spans="1:6" ht="15.75" x14ac:dyDescent="0.25">
      <c r="A63" s="166" t="s">
        <v>523</v>
      </c>
      <c r="B63" s="166" t="s">
        <v>524</v>
      </c>
      <c r="C63" s="167"/>
      <c r="D63" s="167"/>
      <c r="E63" s="167"/>
      <c r="F63" s="167"/>
    </row>
    <row r="64" spans="1:6" ht="15.75" x14ac:dyDescent="0.25">
      <c r="A64" s="168" t="s">
        <v>525</v>
      </c>
      <c r="B64" s="169"/>
      <c r="C64" s="167"/>
      <c r="D64" s="167"/>
      <c r="E64" s="167"/>
      <c r="F64" s="167"/>
    </row>
    <row r="65" spans="1:6" ht="15.75" x14ac:dyDescent="0.25">
      <c r="A65" s="89"/>
      <c r="B65" s="89"/>
      <c r="C65" s="89"/>
      <c r="D65" s="89"/>
      <c r="E65" s="89"/>
      <c r="F65" s="89"/>
    </row>
    <row r="66" spans="1:6" ht="15.75" x14ac:dyDescent="0.25">
      <c r="A66" s="89"/>
      <c r="B66" s="89"/>
      <c r="C66" s="89"/>
      <c r="D66" s="89"/>
      <c r="E66" s="89"/>
      <c r="F66" s="89"/>
    </row>
    <row r="67" spans="1:6" ht="15.75" x14ac:dyDescent="0.25">
      <c r="A67" s="89"/>
      <c r="B67" s="89"/>
      <c r="C67" s="89"/>
      <c r="D67" s="89"/>
      <c r="E67" s="89"/>
      <c r="F67" s="89"/>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2"/>
  <sheetViews>
    <sheetView zoomScale="110" zoomScaleNormal="110" workbookViewId="0">
      <pane xSplit="1" ySplit="2" topLeftCell="B54" activePane="bottomRight" state="frozen"/>
      <selection pane="topRight" activeCell="B1" sqref="B1"/>
      <selection pane="bottomLeft" activeCell="A3" sqref="A3"/>
      <selection pane="bottomRight" activeCell="C68" sqref="C68"/>
    </sheetView>
  </sheetViews>
  <sheetFormatPr defaultRowHeight="15.75" x14ac:dyDescent="0.2"/>
  <cols>
    <col min="1" max="1" width="19.5703125" style="34" customWidth="1"/>
    <col min="2" max="2" width="113" style="11" customWidth="1"/>
    <col min="3" max="3" width="14.5703125" style="388" customWidth="1"/>
  </cols>
  <sheetData>
    <row r="1" spans="1:3" ht="19.5" thickBot="1" x14ac:dyDescent="0.3">
      <c r="A1" s="716" t="s">
        <v>1052</v>
      </c>
      <c r="B1" s="717"/>
      <c r="C1" s="387"/>
    </row>
    <row r="2" spans="1:3" x14ac:dyDescent="0.2">
      <c r="A2" s="179" t="s">
        <v>224</v>
      </c>
      <c r="B2" s="179" t="s">
        <v>294</v>
      </c>
    </row>
    <row r="3" spans="1:3" ht="144.75" customHeight="1" x14ac:dyDescent="0.2">
      <c r="A3" s="322" t="s">
        <v>225</v>
      </c>
      <c r="B3" s="181" t="s">
        <v>316</v>
      </c>
    </row>
    <row r="4" spans="1:3" ht="56.25" customHeight="1" x14ac:dyDescent="0.2">
      <c r="A4" s="322" t="s">
        <v>226</v>
      </c>
      <c r="B4" s="322" t="s">
        <v>76</v>
      </c>
    </row>
    <row r="5" spans="1:3" ht="47.25" x14ac:dyDescent="0.2">
      <c r="A5" s="322" t="s">
        <v>39</v>
      </c>
      <c r="B5" s="181" t="s">
        <v>1053</v>
      </c>
    </row>
    <row r="6" spans="1:3" ht="302.25" customHeight="1" x14ac:dyDescent="0.2">
      <c r="A6" s="322" t="s">
        <v>40</v>
      </c>
      <c r="B6" s="322" t="s">
        <v>749</v>
      </c>
    </row>
    <row r="7" spans="1:3" ht="38.25" customHeight="1" x14ac:dyDescent="0.2">
      <c r="A7" s="322" t="s">
        <v>41</v>
      </c>
      <c r="B7" s="181" t="s">
        <v>883</v>
      </c>
    </row>
    <row r="8" spans="1:3" ht="54" customHeight="1" x14ac:dyDescent="0.2">
      <c r="A8" s="180" t="s">
        <v>223</v>
      </c>
      <c r="B8" s="180" t="s">
        <v>716</v>
      </c>
    </row>
    <row r="9" spans="1:3" ht="21" customHeight="1" x14ac:dyDescent="0.2">
      <c r="A9" s="181" t="s">
        <v>702</v>
      </c>
      <c r="B9" s="181" t="s">
        <v>962</v>
      </c>
    </row>
    <row r="10" spans="1:3" ht="31.5" x14ac:dyDescent="0.2">
      <c r="A10" s="185" t="s">
        <v>99</v>
      </c>
      <c r="B10" s="182" t="s">
        <v>703</v>
      </c>
    </row>
    <row r="11" spans="1:3" ht="66" customHeight="1" x14ac:dyDescent="0.2">
      <c r="A11" s="180" t="s">
        <v>217</v>
      </c>
      <c r="B11" s="180" t="s">
        <v>695</v>
      </c>
    </row>
    <row r="12" spans="1:3" ht="63" x14ac:dyDescent="0.2">
      <c r="A12" s="183" t="s">
        <v>218</v>
      </c>
      <c r="B12" s="183" t="s">
        <v>938</v>
      </c>
      <c r="C12" s="398"/>
    </row>
    <row r="13" spans="1:3" ht="36" customHeight="1" x14ac:dyDescent="0.2">
      <c r="A13" s="184" t="s">
        <v>219</v>
      </c>
      <c r="B13" s="184" t="s">
        <v>930</v>
      </c>
    </row>
    <row r="14" spans="1:3" ht="66.75" customHeight="1" x14ac:dyDescent="0.2">
      <c r="A14" s="181" t="s">
        <v>220</v>
      </c>
      <c r="B14" s="206" t="s">
        <v>762</v>
      </c>
      <c r="C14" s="389"/>
    </row>
    <row r="15" spans="1:3" ht="84" customHeight="1" x14ac:dyDescent="0.2">
      <c r="A15" s="181" t="s">
        <v>221</v>
      </c>
      <c r="B15" s="206" t="s">
        <v>872</v>
      </c>
    </row>
    <row r="16" spans="1:3" ht="21.75" customHeight="1" x14ac:dyDescent="0.2">
      <c r="A16" s="181" t="s">
        <v>35</v>
      </c>
      <c r="B16" s="181" t="s">
        <v>696</v>
      </c>
    </row>
    <row r="17" spans="1:3" ht="52.5" customHeight="1" x14ac:dyDescent="0.2">
      <c r="A17" s="180" t="s">
        <v>27</v>
      </c>
      <c r="B17" s="180" t="s">
        <v>1054</v>
      </c>
    </row>
    <row r="18" spans="1:3" ht="64.5" customHeight="1" x14ac:dyDescent="0.2">
      <c r="A18" s="322" t="s">
        <v>215</v>
      </c>
      <c r="B18" s="322" t="s">
        <v>1055</v>
      </c>
    </row>
    <row r="19" spans="1:3" ht="33" customHeight="1" x14ac:dyDescent="0.2">
      <c r="A19" s="259" t="s">
        <v>298</v>
      </c>
      <c r="B19" s="259" t="s">
        <v>251</v>
      </c>
    </row>
    <row r="20" spans="1:3" ht="17.25" customHeight="1" x14ac:dyDescent="0.2">
      <c r="A20" s="322" t="s">
        <v>852</v>
      </c>
      <c r="B20" s="322" t="s">
        <v>854</v>
      </c>
    </row>
    <row r="21" spans="1:3" ht="31.5" x14ac:dyDescent="0.2">
      <c r="A21" s="322" t="s">
        <v>840</v>
      </c>
      <c r="B21" s="322" t="s">
        <v>853</v>
      </c>
    </row>
    <row r="22" spans="1:3" ht="18" customHeight="1" x14ac:dyDescent="0.2">
      <c r="A22" s="322" t="s">
        <v>719</v>
      </c>
      <c r="B22" s="322" t="s">
        <v>855</v>
      </c>
    </row>
    <row r="23" spans="1:3" ht="20.25" customHeight="1" x14ac:dyDescent="0.2">
      <c r="A23" s="322" t="s">
        <v>841</v>
      </c>
      <c r="B23" s="322" t="s">
        <v>720</v>
      </c>
    </row>
    <row r="24" spans="1:3" ht="36" customHeight="1" x14ac:dyDescent="0.2">
      <c r="A24" s="322" t="s">
        <v>903</v>
      </c>
      <c r="B24" s="322" t="s">
        <v>931</v>
      </c>
    </row>
    <row r="25" spans="1:3" ht="21" customHeight="1" x14ac:dyDescent="0.2">
      <c r="A25" s="322" t="s">
        <v>858</v>
      </c>
      <c r="B25" s="322" t="s">
        <v>1056</v>
      </c>
    </row>
    <row r="26" spans="1:3" ht="36" customHeight="1" x14ac:dyDescent="0.2">
      <c r="A26" s="322" t="s">
        <v>859</v>
      </c>
      <c r="B26" s="322" t="s">
        <v>860</v>
      </c>
    </row>
    <row r="27" spans="1:3" ht="55.5" customHeight="1" x14ac:dyDescent="0.2">
      <c r="A27" s="180" t="s">
        <v>19</v>
      </c>
      <c r="B27" s="180" t="s">
        <v>1057</v>
      </c>
    </row>
    <row r="28" spans="1:3" ht="73.5" customHeight="1" x14ac:dyDescent="0.2">
      <c r="A28" s="322" t="s">
        <v>216</v>
      </c>
      <c r="B28" s="322" t="s">
        <v>1058</v>
      </c>
    </row>
    <row r="29" spans="1:3" ht="35.25" customHeight="1" x14ac:dyDescent="0.2">
      <c r="A29" s="180" t="s">
        <v>156</v>
      </c>
      <c r="B29" s="180" t="s">
        <v>536</v>
      </c>
    </row>
    <row r="30" spans="1:3" s="116" customFormat="1" ht="213.6" customHeight="1" x14ac:dyDescent="0.2">
      <c r="A30" s="322" t="s">
        <v>344</v>
      </c>
      <c r="B30" s="181" t="s">
        <v>750</v>
      </c>
      <c r="C30" s="391"/>
    </row>
    <row r="31" spans="1:3" ht="31.5" x14ac:dyDescent="0.2">
      <c r="A31" s="184" t="s">
        <v>252</v>
      </c>
      <c r="B31" s="226" t="s">
        <v>873</v>
      </c>
    </row>
    <row r="32" spans="1:3" ht="78.75" x14ac:dyDescent="0.2">
      <c r="A32" s="181" t="s">
        <v>253</v>
      </c>
      <c r="B32" s="181" t="s">
        <v>200</v>
      </c>
      <c r="C32" s="390"/>
    </row>
    <row r="33" spans="1:3" ht="31.5" x14ac:dyDescent="0.2">
      <c r="A33" s="184" t="s">
        <v>254</v>
      </c>
      <c r="B33" s="184" t="s">
        <v>149</v>
      </c>
    </row>
    <row r="34" spans="1:3" ht="18" customHeight="1" x14ac:dyDescent="0.2">
      <c r="A34" s="184" t="s">
        <v>255</v>
      </c>
      <c r="B34" s="184" t="s">
        <v>150</v>
      </c>
    </row>
    <row r="35" spans="1:3" ht="18" customHeight="1" x14ac:dyDescent="0.2">
      <c r="A35" s="184" t="s">
        <v>256</v>
      </c>
      <c r="B35" s="184" t="s">
        <v>172</v>
      </c>
    </row>
    <row r="36" spans="1:3" ht="34.5" customHeight="1" x14ac:dyDescent="0.2">
      <c r="A36" s="184" t="s">
        <v>257</v>
      </c>
      <c r="B36" s="184" t="s">
        <v>932</v>
      </c>
    </row>
    <row r="37" spans="1:3" ht="78.75" x14ac:dyDescent="0.2">
      <c r="A37" s="184" t="s">
        <v>312</v>
      </c>
      <c r="B37" s="184" t="s">
        <v>1147</v>
      </c>
    </row>
    <row r="38" spans="1:3" ht="36.75" customHeight="1" x14ac:dyDescent="0.2">
      <c r="A38" s="184" t="s">
        <v>151</v>
      </c>
      <c r="B38" s="184" t="s">
        <v>1148</v>
      </c>
    </row>
    <row r="39" spans="1:3" ht="45" customHeight="1" x14ac:dyDescent="0.2">
      <c r="A39" s="184" t="s">
        <v>152</v>
      </c>
      <c r="B39" s="184" t="s">
        <v>1149</v>
      </c>
    </row>
    <row r="40" spans="1:3" ht="62.25" customHeight="1" x14ac:dyDescent="0.2">
      <c r="A40" s="184" t="s">
        <v>153</v>
      </c>
      <c r="B40" s="181" t="s">
        <v>904</v>
      </c>
      <c r="C40" s="390"/>
    </row>
    <row r="41" spans="1:3" ht="31.5" x14ac:dyDescent="0.2">
      <c r="A41" s="184" t="s">
        <v>154</v>
      </c>
      <c r="B41" s="184" t="s">
        <v>697</v>
      </c>
    </row>
    <row r="42" spans="1:3" ht="20.25" customHeight="1" x14ac:dyDescent="0.2">
      <c r="A42" s="181" t="s">
        <v>155</v>
      </c>
      <c r="B42" s="181" t="s">
        <v>72</v>
      </c>
    </row>
    <row r="43" spans="1:3" ht="30" customHeight="1" x14ac:dyDescent="0.2">
      <c r="A43" s="336" t="s">
        <v>869</v>
      </c>
      <c r="B43" s="336" t="s">
        <v>861</v>
      </c>
    </row>
    <row r="44" spans="1:3" ht="33.75" customHeight="1" x14ac:dyDescent="0.2">
      <c r="A44" s="180" t="s">
        <v>20</v>
      </c>
      <c r="B44" s="180" t="s">
        <v>981</v>
      </c>
    </row>
    <row r="45" spans="1:3" ht="33.75" customHeight="1" x14ac:dyDescent="0.2">
      <c r="A45" s="180" t="s">
        <v>258</v>
      </c>
      <c r="B45" s="180" t="s">
        <v>266</v>
      </c>
    </row>
    <row r="46" spans="1:3" ht="31.5" x14ac:dyDescent="0.2">
      <c r="A46" s="206" t="s">
        <v>815</v>
      </c>
      <c r="B46" s="206" t="s">
        <v>884</v>
      </c>
    </row>
    <row r="47" spans="1:3" ht="33" customHeight="1" x14ac:dyDescent="0.2">
      <c r="A47" s="181" t="s">
        <v>173</v>
      </c>
      <c r="B47" s="181" t="s">
        <v>698</v>
      </c>
    </row>
    <row r="48" spans="1:3" ht="63" x14ac:dyDescent="0.2">
      <c r="A48" s="180" t="s">
        <v>21</v>
      </c>
      <c r="B48" s="180" t="s">
        <v>751</v>
      </c>
    </row>
    <row r="49" spans="1:3" x14ac:dyDescent="0.2">
      <c r="A49" s="184" t="s">
        <v>402</v>
      </c>
      <c r="B49" s="226" t="s">
        <v>761</v>
      </c>
    </row>
    <row r="50" spans="1:3" ht="31.5" x14ac:dyDescent="0.2">
      <c r="A50" s="181" t="s">
        <v>74</v>
      </c>
      <c r="B50" s="181" t="s">
        <v>174</v>
      </c>
    </row>
    <row r="51" spans="1:3" ht="18.600000000000001" customHeight="1" x14ac:dyDescent="0.2">
      <c r="A51" s="184" t="s">
        <v>708</v>
      </c>
      <c r="B51" s="184" t="s">
        <v>874</v>
      </c>
    </row>
    <row r="52" spans="1:3" ht="50.25" customHeight="1" x14ac:dyDescent="0.2">
      <c r="A52" s="180" t="s">
        <v>297</v>
      </c>
      <c r="B52" s="180" t="s">
        <v>752</v>
      </c>
    </row>
    <row r="53" spans="1:3" s="116" customFormat="1" ht="31.5" x14ac:dyDescent="0.2">
      <c r="A53" s="180" t="s">
        <v>197</v>
      </c>
      <c r="B53" s="180" t="s">
        <v>753</v>
      </c>
      <c r="C53" s="391"/>
    </row>
    <row r="54" spans="1:3" s="116" customFormat="1" x14ac:dyDescent="0.2">
      <c r="A54" s="259" t="s">
        <v>368</v>
      </c>
      <c r="B54" s="259" t="s">
        <v>1059</v>
      </c>
      <c r="C54" s="391"/>
    </row>
    <row r="55" spans="1:3" s="116" customFormat="1" ht="31.5" x14ac:dyDescent="0.2">
      <c r="A55" s="206" t="s">
        <v>267</v>
      </c>
      <c r="B55" s="206" t="s">
        <v>175</v>
      </c>
      <c r="C55" s="391"/>
    </row>
    <row r="56" spans="1:3" s="116" customFormat="1" ht="31.5" x14ac:dyDescent="0.2">
      <c r="A56" s="226" t="s">
        <v>398</v>
      </c>
      <c r="B56" s="226" t="s">
        <v>933</v>
      </c>
      <c r="C56" s="391"/>
    </row>
    <row r="57" spans="1:3" s="116" customFormat="1" ht="34.5" x14ac:dyDescent="0.2">
      <c r="A57" s="226" t="s">
        <v>760</v>
      </c>
      <c r="B57" s="227" t="s">
        <v>935</v>
      </c>
      <c r="C57" s="391"/>
    </row>
    <row r="58" spans="1:3" s="116" customFormat="1" ht="22.5" customHeight="1" x14ac:dyDescent="0.2">
      <c r="A58" s="226" t="s">
        <v>768</v>
      </c>
      <c r="B58" s="227" t="s">
        <v>934</v>
      </c>
      <c r="C58" s="391"/>
    </row>
    <row r="59" spans="1:3" ht="47.25" x14ac:dyDescent="0.2">
      <c r="A59" s="180" t="s">
        <v>22</v>
      </c>
      <c r="B59" s="180" t="s">
        <v>187</v>
      </c>
    </row>
    <row r="60" spans="1:3" ht="31.5" x14ac:dyDescent="0.2">
      <c r="A60" s="181" t="s">
        <v>1150</v>
      </c>
      <c r="B60" s="181" t="s">
        <v>135</v>
      </c>
    </row>
    <row r="61" spans="1:3" ht="47.25" x14ac:dyDescent="0.2">
      <c r="A61" s="226" t="s">
        <v>730</v>
      </c>
      <c r="B61" s="226" t="s">
        <v>1060</v>
      </c>
    </row>
    <row r="62" spans="1:3" ht="47.25" x14ac:dyDescent="0.2">
      <c r="A62" s="226" t="s">
        <v>731</v>
      </c>
      <c r="B62" s="184" t="s">
        <v>1069</v>
      </c>
      <c r="C62" s="397"/>
    </row>
    <row r="63" spans="1:3" ht="47.25" x14ac:dyDescent="0.2">
      <c r="A63" s="206" t="s">
        <v>134</v>
      </c>
      <c r="B63" s="206" t="s">
        <v>1071</v>
      </c>
    </row>
    <row r="64" spans="1:3" ht="63.75" customHeight="1" x14ac:dyDescent="0.2">
      <c r="A64" s="226" t="s">
        <v>732</v>
      </c>
      <c r="B64" s="181" t="s">
        <v>1070</v>
      </c>
    </row>
    <row r="65" spans="1:11" s="120" customFormat="1" ht="31.5" x14ac:dyDescent="0.2">
      <c r="A65" s="180" t="s">
        <v>23</v>
      </c>
      <c r="B65" s="180" t="s">
        <v>1061</v>
      </c>
      <c r="C65" s="392"/>
    </row>
    <row r="66" spans="1:11" s="116" customFormat="1" ht="31.5" x14ac:dyDescent="0.2">
      <c r="A66" s="181" t="s">
        <v>198</v>
      </c>
      <c r="B66" s="181" t="s">
        <v>199</v>
      </c>
      <c r="C66" s="391"/>
    </row>
    <row r="67" spans="1:11" ht="31.5" x14ac:dyDescent="0.2">
      <c r="A67" s="181" t="s">
        <v>905</v>
      </c>
      <c r="B67" s="181" t="s">
        <v>1062</v>
      </c>
      <c r="C67" s="393"/>
    </row>
    <row r="68" spans="1:11" x14ac:dyDescent="0.2">
      <c r="A68" s="181" t="s">
        <v>1025</v>
      </c>
      <c r="B68" s="181" t="s">
        <v>1027</v>
      </c>
      <c r="C68" s="393"/>
    </row>
    <row r="69" spans="1:11" ht="34.5" customHeight="1" x14ac:dyDescent="0.2">
      <c r="A69" s="180" t="s">
        <v>345</v>
      </c>
      <c r="B69" s="180" t="s">
        <v>1063</v>
      </c>
      <c r="C69" s="393"/>
      <c r="K69" s="367"/>
    </row>
    <row r="70" spans="1:11" ht="34.5" customHeight="1" x14ac:dyDescent="0.2">
      <c r="A70" s="206" t="s">
        <v>330</v>
      </c>
      <c r="B70" s="206" t="s">
        <v>885</v>
      </c>
      <c r="C70" s="393"/>
    </row>
    <row r="71" spans="1:11" ht="21" customHeight="1" x14ac:dyDescent="0.2">
      <c r="A71" s="181" t="s">
        <v>346</v>
      </c>
      <c r="B71" s="181" t="s">
        <v>862</v>
      </c>
      <c r="C71" s="393"/>
    </row>
    <row r="72" spans="1:11" ht="53.25" customHeight="1" x14ac:dyDescent="0.2">
      <c r="A72" s="184" t="s">
        <v>36</v>
      </c>
      <c r="B72" s="184" t="s">
        <v>212</v>
      </c>
    </row>
    <row r="73" spans="1:11" ht="36" customHeight="1" x14ac:dyDescent="0.2">
      <c r="A73" s="181" t="s">
        <v>71</v>
      </c>
      <c r="B73" s="181" t="s">
        <v>1064</v>
      </c>
    </row>
    <row r="74" spans="1:11" ht="33.75" customHeight="1" x14ac:dyDescent="0.2">
      <c r="A74" s="221" t="s">
        <v>700</v>
      </c>
      <c r="B74" s="226" t="s">
        <v>886</v>
      </c>
    </row>
    <row r="75" spans="1:11" ht="84.75" customHeight="1" x14ac:dyDescent="0.2">
      <c r="A75" s="180" t="s">
        <v>157</v>
      </c>
      <c r="B75" s="180" t="s">
        <v>1065</v>
      </c>
    </row>
    <row r="76" spans="1:11" ht="18" customHeight="1" x14ac:dyDescent="0.2">
      <c r="A76" s="181" t="s">
        <v>78</v>
      </c>
      <c r="B76" s="181" t="s">
        <v>887</v>
      </c>
    </row>
    <row r="77" spans="1:11" ht="19.5" customHeight="1" x14ac:dyDescent="0.2">
      <c r="A77" s="184" t="s">
        <v>313</v>
      </c>
      <c r="B77" s="184" t="s">
        <v>42</v>
      </c>
    </row>
    <row r="78" spans="1:11" ht="21" customHeight="1" x14ac:dyDescent="0.2">
      <c r="A78" s="184" t="s">
        <v>77</v>
      </c>
      <c r="B78" s="184" t="s">
        <v>314</v>
      </c>
    </row>
    <row r="79" spans="1:11" ht="25.5" customHeight="1" x14ac:dyDescent="0.2">
      <c r="A79" s="184" t="s">
        <v>315</v>
      </c>
      <c r="B79" s="184" t="s">
        <v>331</v>
      </c>
    </row>
    <row r="80" spans="1:11" ht="35.25" customHeight="1" x14ac:dyDescent="0.2">
      <c r="A80" s="184" t="s">
        <v>51</v>
      </c>
      <c r="B80" s="184" t="s">
        <v>52</v>
      </c>
    </row>
    <row r="81" spans="1:6" ht="35.25" customHeight="1" x14ac:dyDescent="0.2">
      <c r="A81" s="184" t="s">
        <v>53</v>
      </c>
      <c r="B81" s="184" t="s">
        <v>54</v>
      </c>
    </row>
    <row r="82" spans="1:6" ht="47.25" x14ac:dyDescent="0.2">
      <c r="A82" s="181" t="s">
        <v>55</v>
      </c>
      <c r="B82" s="181" t="s">
        <v>1151</v>
      </c>
      <c r="C82" s="395"/>
      <c r="F82" s="367"/>
    </row>
    <row r="83" spans="1:6" ht="31.5" x14ac:dyDescent="0.2">
      <c r="A83" s="181" t="s">
        <v>48</v>
      </c>
      <c r="B83" s="181" t="s">
        <v>1066</v>
      </c>
    </row>
    <row r="84" spans="1:6" ht="61.5" customHeight="1" x14ac:dyDescent="0.2">
      <c r="A84" s="180" t="s">
        <v>159</v>
      </c>
      <c r="B84" s="180" t="s">
        <v>1067</v>
      </c>
    </row>
    <row r="85" spans="1:6" s="108" customFormat="1" ht="49.5" customHeight="1" x14ac:dyDescent="0.2">
      <c r="A85" s="184" t="s">
        <v>863</v>
      </c>
      <c r="B85" s="184" t="s">
        <v>1068</v>
      </c>
      <c r="C85" s="394"/>
    </row>
    <row r="86" spans="1:6" ht="130.5" customHeight="1" x14ac:dyDescent="0.2">
      <c r="A86" s="180" t="s">
        <v>347</v>
      </c>
      <c r="B86" s="180" t="s">
        <v>1152</v>
      </c>
    </row>
    <row r="87" spans="1:6" ht="49.5" customHeight="1" x14ac:dyDescent="0.2">
      <c r="A87" s="180" t="s">
        <v>259</v>
      </c>
      <c r="B87" s="180" t="s">
        <v>963</v>
      </c>
    </row>
    <row r="88" spans="1:6" ht="37.5" customHeight="1" x14ac:dyDescent="0.2">
      <c r="A88" s="336" t="s">
        <v>816</v>
      </c>
      <c r="B88" s="336" t="s">
        <v>888</v>
      </c>
    </row>
    <row r="89" spans="1:6" ht="31.5" x14ac:dyDescent="0.2">
      <c r="A89" s="180" t="s">
        <v>37</v>
      </c>
      <c r="B89" s="180" t="s">
        <v>813</v>
      </c>
    </row>
    <row r="90" spans="1:6" ht="66.75" customHeight="1" x14ac:dyDescent="0.2">
      <c r="A90" s="180" t="s">
        <v>284</v>
      </c>
      <c r="B90" s="180" t="s">
        <v>769</v>
      </c>
    </row>
    <row r="91" spans="1:6" ht="31.5" x14ac:dyDescent="0.2">
      <c r="A91" s="180" t="s">
        <v>532</v>
      </c>
      <c r="B91" s="180" t="s">
        <v>723</v>
      </c>
    </row>
    <row r="92" spans="1:6" ht="31.5" x14ac:dyDescent="0.2">
      <c r="A92" s="180" t="s">
        <v>533</v>
      </c>
      <c r="B92" s="180" t="s">
        <v>889</v>
      </c>
      <c r="C92" s="390"/>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7"/>
  <sheetViews>
    <sheetView zoomScale="90" zoomScaleNormal="90" workbookViewId="0">
      <pane xSplit="1" ySplit="2" topLeftCell="B14" activePane="bottomRight" state="frozen"/>
      <selection pane="topRight" activeCell="B1" sqref="B1"/>
      <selection pane="bottomLeft" activeCell="A3" sqref="A3"/>
      <selection pane="bottomRight" activeCell="B14" sqref="B14"/>
    </sheetView>
  </sheetViews>
  <sheetFormatPr defaultColWidth="9.140625" defaultRowHeight="15.75" x14ac:dyDescent="0.2"/>
  <cols>
    <col min="1" max="1" width="11.85546875" style="108" customWidth="1"/>
    <col min="2" max="2" width="44.7109375" style="111" customWidth="1"/>
    <col min="3" max="3" width="163.140625" style="109" customWidth="1"/>
    <col min="4" max="4" width="42.140625" style="108" customWidth="1"/>
    <col min="5" max="5" width="13.5703125" style="108" customWidth="1"/>
    <col min="6" max="16384" width="9.140625" style="108"/>
  </cols>
  <sheetData>
    <row r="1" spans="1:8" ht="42" customHeight="1" thickBot="1" x14ac:dyDescent="0.25">
      <c r="A1" s="716" t="s">
        <v>1139</v>
      </c>
      <c r="B1" s="718"/>
      <c r="C1" s="717"/>
    </row>
    <row r="2" spans="1:8" s="122" customFormat="1" ht="47.25" x14ac:dyDescent="0.2">
      <c r="A2" s="121" t="s">
        <v>224</v>
      </c>
      <c r="B2" s="353" t="s">
        <v>49</v>
      </c>
      <c r="C2" s="179" t="s">
        <v>50</v>
      </c>
    </row>
    <row r="3" spans="1:8" ht="38.25" customHeight="1" x14ac:dyDescent="0.2">
      <c r="A3" s="160" t="s">
        <v>223</v>
      </c>
      <c r="B3" s="354" t="s">
        <v>1076</v>
      </c>
      <c r="C3" s="181" t="s">
        <v>1072</v>
      </c>
      <c r="D3" s="122"/>
    </row>
    <row r="4" spans="1:8" s="117" customFormat="1" ht="106.5" customHeight="1" x14ac:dyDescent="0.2">
      <c r="A4" s="160" t="s">
        <v>217</v>
      </c>
      <c r="B4" s="354" t="s">
        <v>727</v>
      </c>
      <c r="C4" s="181" t="s">
        <v>939</v>
      </c>
      <c r="D4" s="122"/>
      <c r="E4" s="396"/>
    </row>
    <row r="5" spans="1:8" s="117" customFormat="1" ht="46.5" customHeight="1" x14ac:dyDescent="0.2">
      <c r="A5" s="160" t="s">
        <v>69</v>
      </c>
      <c r="B5" s="354" t="s">
        <v>733</v>
      </c>
      <c r="C5" s="357" t="s">
        <v>1073</v>
      </c>
      <c r="D5" s="122"/>
    </row>
    <row r="6" spans="1:8" ht="71.25" customHeight="1" x14ac:dyDescent="0.2">
      <c r="A6" s="160" t="s">
        <v>27</v>
      </c>
      <c r="B6" s="355" t="s">
        <v>1166</v>
      </c>
      <c r="C6" s="181" t="s">
        <v>1167</v>
      </c>
      <c r="D6" s="486" t="s">
        <v>1172</v>
      </c>
    </row>
    <row r="7" spans="1:8" ht="78.75" x14ac:dyDescent="0.2">
      <c r="A7" s="160" t="s">
        <v>298</v>
      </c>
      <c r="B7" s="354" t="s">
        <v>1168</v>
      </c>
      <c r="C7" s="206" t="s">
        <v>1169</v>
      </c>
      <c r="D7" s="486" t="s">
        <v>1172</v>
      </c>
      <c r="E7" s="386"/>
    </row>
    <row r="8" spans="1:8" ht="106.5" customHeight="1" x14ac:dyDescent="0.2">
      <c r="A8" s="160" t="s">
        <v>19</v>
      </c>
      <c r="B8" s="355" t="s">
        <v>967</v>
      </c>
      <c r="C8" s="181" t="s">
        <v>1153</v>
      </c>
      <c r="D8" s="122"/>
    </row>
    <row r="9" spans="1:8" ht="33.75" customHeight="1" x14ac:dyDescent="0.2">
      <c r="A9" s="160" t="s">
        <v>216</v>
      </c>
      <c r="B9" s="354" t="s">
        <v>241</v>
      </c>
      <c r="C9" s="181" t="s">
        <v>242</v>
      </c>
      <c r="D9" s="122"/>
    </row>
    <row r="10" spans="1:8" ht="42" customHeight="1" x14ac:dyDescent="0.2">
      <c r="A10" s="160" t="s">
        <v>1001</v>
      </c>
      <c r="B10" s="354" t="s">
        <v>926</v>
      </c>
      <c r="C10" s="181" t="s">
        <v>927</v>
      </c>
      <c r="D10" s="122"/>
      <c r="E10" s="386"/>
      <c r="F10" s="386"/>
      <c r="G10" s="386"/>
      <c r="H10" s="386"/>
    </row>
    <row r="11" spans="1:8" ht="75" customHeight="1" x14ac:dyDescent="0.2">
      <c r="A11" s="160" t="s">
        <v>156</v>
      </c>
      <c r="B11" s="354" t="s">
        <v>1156</v>
      </c>
      <c r="C11" s="181" t="s">
        <v>1074</v>
      </c>
      <c r="D11" s="122"/>
      <c r="E11" s="386"/>
    </row>
    <row r="12" spans="1:8" ht="31.5" x14ac:dyDescent="0.2">
      <c r="A12" s="160" t="s">
        <v>20</v>
      </c>
      <c r="B12" s="354" t="s">
        <v>1077</v>
      </c>
      <c r="C12" s="181" t="s">
        <v>1155</v>
      </c>
      <c r="D12" s="122"/>
      <c r="E12" s="386"/>
    </row>
    <row r="13" spans="1:8" ht="47.25" x14ac:dyDescent="0.2">
      <c r="A13" s="160" t="s">
        <v>173</v>
      </c>
      <c r="B13" s="354" t="s">
        <v>1078</v>
      </c>
      <c r="C13" s="181" t="s">
        <v>1075</v>
      </c>
      <c r="D13" s="122"/>
      <c r="E13" s="386"/>
    </row>
    <row r="14" spans="1:8" ht="75.75" customHeight="1" x14ac:dyDescent="0.2">
      <c r="A14" s="160" t="s">
        <v>258</v>
      </c>
      <c r="B14" s="354" t="s">
        <v>1079</v>
      </c>
      <c r="C14" s="181" t="s">
        <v>1080</v>
      </c>
      <c r="D14" s="122"/>
      <c r="E14" s="386"/>
    </row>
    <row r="15" spans="1:8" ht="41.25" customHeight="1" x14ac:dyDescent="0.2">
      <c r="A15" s="160" t="s">
        <v>21</v>
      </c>
      <c r="B15" s="354" t="s">
        <v>1081</v>
      </c>
      <c r="C15" s="181" t="s">
        <v>1082</v>
      </c>
      <c r="D15" s="122"/>
    </row>
    <row r="16" spans="1:8" ht="72.75" customHeight="1" x14ac:dyDescent="0.2">
      <c r="A16" s="160" t="s">
        <v>244</v>
      </c>
      <c r="B16" s="354" t="s">
        <v>1083</v>
      </c>
      <c r="C16" s="181" t="s">
        <v>906</v>
      </c>
      <c r="D16" s="122"/>
    </row>
    <row r="17" spans="1:8" ht="54" customHeight="1" x14ac:dyDescent="0.2">
      <c r="A17" s="160" t="s">
        <v>297</v>
      </c>
      <c r="B17" s="354" t="s">
        <v>1084</v>
      </c>
      <c r="C17" s="206" t="s">
        <v>1085</v>
      </c>
      <c r="D17" s="122"/>
    </row>
    <row r="18" spans="1:8" ht="40.5" customHeight="1" x14ac:dyDescent="0.2">
      <c r="A18" s="160" t="s">
        <v>197</v>
      </c>
      <c r="B18" s="354" t="s">
        <v>143</v>
      </c>
      <c r="C18" s="181" t="s">
        <v>787</v>
      </c>
      <c r="D18" s="122"/>
    </row>
    <row r="19" spans="1:8" ht="42.75" customHeight="1" x14ac:dyDescent="0.25">
      <c r="A19" s="160" t="s">
        <v>368</v>
      </c>
      <c r="B19" s="354" t="s">
        <v>1086</v>
      </c>
      <c r="C19" s="181" t="s">
        <v>941</v>
      </c>
      <c r="D19" s="122"/>
      <c r="E19" s="439" t="s">
        <v>1012</v>
      </c>
    </row>
    <row r="20" spans="1:8" ht="41.25" customHeight="1" x14ac:dyDescent="0.2">
      <c r="A20" s="160" t="s">
        <v>22</v>
      </c>
      <c r="B20" s="354" t="s">
        <v>882</v>
      </c>
      <c r="C20" s="181" t="s">
        <v>1087</v>
      </c>
      <c r="D20" s="122"/>
    </row>
    <row r="21" spans="1:8" ht="57" customHeight="1" x14ac:dyDescent="0.2">
      <c r="A21" s="160" t="s">
        <v>739</v>
      </c>
      <c r="B21" s="354" t="s">
        <v>936</v>
      </c>
      <c r="C21" s="206" t="s">
        <v>929</v>
      </c>
      <c r="D21" s="122"/>
    </row>
    <row r="22" spans="1:8" ht="38.25" customHeight="1" x14ac:dyDescent="0.2">
      <c r="A22" s="160" t="s">
        <v>740</v>
      </c>
      <c r="B22" s="354" t="s">
        <v>928</v>
      </c>
      <c r="C22" s="206" t="s">
        <v>734</v>
      </c>
      <c r="D22" s="122"/>
    </row>
    <row r="23" spans="1:8" ht="23.25" customHeight="1" x14ac:dyDescent="0.2">
      <c r="A23" s="160" t="s">
        <v>741</v>
      </c>
      <c r="B23" s="354" t="s">
        <v>735</v>
      </c>
      <c r="C23" s="206" t="s">
        <v>736</v>
      </c>
      <c r="D23" s="122"/>
    </row>
    <row r="24" spans="1:8" ht="31.5" x14ac:dyDescent="0.2">
      <c r="A24" s="160" t="s">
        <v>742</v>
      </c>
      <c r="B24" s="354" t="s">
        <v>737</v>
      </c>
      <c r="C24" s="206" t="s">
        <v>738</v>
      </c>
      <c r="D24" s="122"/>
    </row>
    <row r="25" spans="1:8" ht="72.75" customHeight="1" x14ac:dyDescent="0.2">
      <c r="A25" s="160" t="s">
        <v>23</v>
      </c>
      <c r="B25" s="354" t="s">
        <v>1174</v>
      </c>
      <c r="C25" s="206" t="s">
        <v>1175</v>
      </c>
      <c r="D25" s="486" t="s">
        <v>1172</v>
      </c>
    </row>
    <row r="26" spans="1:8" ht="78.75" x14ac:dyDescent="0.2">
      <c r="A26" s="160" t="s">
        <v>345</v>
      </c>
      <c r="B26" s="355" t="s">
        <v>968</v>
      </c>
      <c r="C26" s="206" t="s">
        <v>937</v>
      </c>
    </row>
    <row r="27" spans="1:8" ht="51.75" customHeight="1" x14ac:dyDescent="0.2">
      <c r="A27" s="160" t="s">
        <v>330</v>
      </c>
      <c r="B27" s="355" t="s">
        <v>944</v>
      </c>
      <c r="C27" s="206" t="s">
        <v>945</v>
      </c>
    </row>
    <row r="28" spans="1:8" ht="25.5" customHeight="1" x14ac:dyDescent="0.2">
      <c r="A28" s="160" t="s">
        <v>44</v>
      </c>
      <c r="B28" s="355" t="s">
        <v>870</v>
      </c>
      <c r="C28" s="206" t="s">
        <v>871</v>
      </c>
      <c r="H28" s="108" t="s">
        <v>158</v>
      </c>
    </row>
    <row r="29" spans="1:8" ht="141.75" x14ac:dyDescent="0.2">
      <c r="A29" s="160" t="s">
        <v>46</v>
      </c>
      <c r="B29" s="355" t="s">
        <v>969</v>
      </c>
      <c r="C29" s="181" t="s">
        <v>1088</v>
      </c>
    </row>
    <row r="30" spans="1:8" ht="28.5" customHeight="1" x14ac:dyDescent="0.2">
      <c r="A30" s="160" t="s">
        <v>45</v>
      </c>
      <c r="B30" s="355" t="s">
        <v>770</v>
      </c>
      <c r="C30" s="206" t="s">
        <v>1089</v>
      </c>
      <c r="D30" s="204"/>
    </row>
    <row r="31" spans="1:8" ht="39.75" customHeight="1" x14ac:dyDescent="0.2">
      <c r="A31" s="160" t="s">
        <v>47</v>
      </c>
      <c r="B31" s="355" t="s">
        <v>970</v>
      </c>
      <c r="C31" s="206" t="s">
        <v>971</v>
      </c>
    </row>
    <row r="32" spans="1:8" s="386" customFormat="1" ht="39.75" customHeight="1" x14ac:dyDescent="0.2">
      <c r="A32" s="160" t="s">
        <v>943</v>
      </c>
      <c r="B32" s="355" t="s">
        <v>946</v>
      </c>
      <c r="C32" s="206" t="s">
        <v>947</v>
      </c>
    </row>
    <row r="33" spans="1:5" ht="57" customHeight="1" x14ac:dyDescent="0.2">
      <c r="A33" s="160" t="s">
        <v>157</v>
      </c>
      <c r="B33" s="354" t="s">
        <v>881</v>
      </c>
      <c r="C33" s="357" t="s">
        <v>1090</v>
      </c>
    </row>
    <row r="34" spans="1:5" ht="51" customHeight="1" x14ac:dyDescent="0.2">
      <c r="A34" s="160" t="s">
        <v>159</v>
      </c>
      <c r="B34" s="354"/>
      <c r="C34" s="181" t="s">
        <v>1091</v>
      </c>
      <c r="D34" s="204"/>
    </row>
    <row r="35" spans="1:5" ht="70.5" customHeight="1" x14ac:dyDescent="0.2">
      <c r="A35" s="160" t="s">
        <v>274</v>
      </c>
      <c r="B35" s="356"/>
      <c r="C35" s="357" t="s">
        <v>1092</v>
      </c>
    </row>
    <row r="36" spans="1:5" ht="40.5" customHeight="1" x14ac:dyDescent="0.2">
      <c r="A36" s="160" t="s">
        <v>259</v>
      </c>
      <c r="B36" s="355" t="s">
        <v>957</v>
      </c>
      <c r="C36" s="357" t="s">
        <v>940</v>
      </c>
    </row>
    <row r="37" spans="1:5" ht="50.25" customHeight="1" x14ac:dyDescent="0.2">
      <c r="A37" s="160" t="s">
        <v>37</v>
      </c>
      <c r="B37" s="355" t="s">
        <v>1093</v>
      </c>
      <c r="C37" s="357" t="s">
        <v>956</v>
      </c>
    </row>
    <row r="38" spans="1:5" ht="108" customHeight="1" x14ac:dyDescent="0.2">
      <c r="A38" s="160" t="s">
        <v>284</v>
      </c>
      <c r="B38" s="354" t="s">
        <v>1094</v>
      </c>
      <c r="C38" s="181" t="s">
        <v>1095</v>
      </c>
      <c r="D38" s="386"/>
    </row>
    <row r="39" spans="1:5" ht="38.25" customHeight="1" x14ac:dyDescent="0.2">
      <c r="A39" s="160" t="s">
        <v>284</v>
      </c>
      <c r="B39" s="354" t="s">
        <v>875</v>
      </c>
      <c r="C39" s="357" t="s">
        <v>1096</v>
      </c>
      <c r="D39" s="386"/>
    </row>
    <row r="40" spans="1:5" ht="47.25" customHeight="1" x14ac:dyDescent="0.2">
      <c r="A40" s="160" t="s">
        <v>284</v>
      </c>
      <c r="B40" s="354" t="s">
        <v>728</v>
      </c>
      <c r="C40" s="357" t="s">
        <v>1137</v>
      </c>
      <c r="D40" s="386"/>
    </row>
    <row r="41" spans="1:5" ht="64.5" customHeight="1" x14ac:dyDescent="0.2">
      <c r="A41" s="160" t="s">
        <v>532</v>
      </c>
      <c r="B41" s="444" t="s">
        <v>1097</v>
      </c>
      <c r="C41" s="436" t="s">
        <v>1007</v>
      </c>
      <c r="D41" s="386"/>
      <c r="E41" s="386"/>
    </row>
    <row r="42" spans="1:5" ht="32.25" thickBot="1" x14ac:dyDescent="0.25">
      <c r="A42" s="435" t="s">
        <v>533</v>
      </c>
      <c r="B42" s="437" t="s">
        <v>1008</v>
      </c>
      <c r="C42" s="438" t="s">
        <v>1007</v>
      </c>
      <c r="D42" s="386"/>
      <c r="E42" s="386"/>
    </row>
    <row r="43" spans="1:5" x14ac:dyDescent="0.2">
      <c r="B43" s="110"/>
      <c r="D43" s="386"/>
    </row>
    <row r="44" spans="1:5" x14ac:dyDescent="0.2">
      <c r="B44" s="110"/>
    </row>
    <row r="45" spans="1:5" x14ac:dyDescent="0.2">
      <c r="B45" s="110"/>
    </row>
    <row r="46" spans="1:5" x14ac:dyDescent="0.2">
      <c r="B46" s="366"/>
    </row>
    <row r="47" spans="1:5" x14ac:dyDescent="0.2">
      <c r="B47" s="110"/>
    </row>
    <row r="48" spans="1:5" x14ac:dyDescent="0.2">
      <c r="B48" s="110"/>
    </row>
    <row r="49" spans="2:2" x14ac:dyDescent="0.2">
      <c r="B49" s="110"/>
    </row>
    <row r="50" spans="2:2" x14ac:dyDescent="0.2">
      <c r="B50" s="110"/>
    </row>
    <row r="51" spans="2:2" x14ac:dyDescent="0.2">
      <c r="B51" s="110"/>
    </row>
    <row r="52" spans="2:2" x14ac:dyDescent="0.2">
      <c r="B52" s="110"/>
    </row>
    <row r="53" spans="2:2" x14ac:dyDescent="0.2">
      <c r="B53" s="110"/>
    </row>
    <row r="54" spans="2:2" x14ac:dyDescent="0.2">
      <c r="B54" s="110"/>
    </row>
    <row r="55" spans="2:2" x14ac:dyDescent="0.2">
      <c r="B55" s="110"/>
    </row>
    <row r="56" spans="2:2" x14ac:dyDescent="0.2">
      <c r="B56" s="110"/>
    </row>
    <row r="57" spans="2:2" x14ac:dyDescent="0.2">
      <c r="B57" s="110"/>
    </row>
  </sheetData>
  <mergeCells count="1">
    <mergeCell ref="A1:C1"/>
  </mergeCells>
  <phoneticPr fontId="6"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zoomScaleNormal="100" workbookViewId="0">
      <selection activeCell="A2" sqref="A2"/>
    </sheetView>
  </sheetViews>
  <sheetFormatPr defaultRowHeight="12.75" x14ac:dyDescent="0.2"/>
  <cols>
    <col min="2" max="2" width="56.85546875" customWidth="1"/>
    <col min="3" max="3" width="22" customWidth="1"/>
  </cols>
  <sheetData>
    <row r="1" spans="1:4" ht="30.75" customHeight="1" thickBot="1" x14ac:dyDescent="0.25">
      <c r="A1" s="719" t="s">
        <v>836</v>
      </c>
      <c r="B1" s="720"/>
      <c r="C1" s="721"/>
    </row>
    <row r="2" spans="1:4" ht="29.25" customHeight="1" thickBot="1" x14ac:dyDescent="0.25">
      <c r="A2" s="307" t="s">
        <v>817</v>
      </c>
      <c r="B2" s="308" t="s">
        <v>818</v>
      </c>
      <c r="C2" s="309" t="s">
        <v>819</v>
      </c>
    </row>
    <row r="3" spans="1:4" ht="24" customHeight="1" x14ac:dyDescent="0.2">
      <c r="A3" s="306">
        <v>1</v>
      </c>
      <c r="B3" s="321" t="s">
        <v>827</v>
      </c>
      <c r="C3" s="310">
        <v>38623</v>
      </c>
    </row>
    <row r="4" spans="1:4" ht="24" customHeight="1" x14ac:dyDescent="0.2">
      <c r="A4" s="304">
        <v>4</v>
      </c>
      <c r="B4" s="320" t="s">
        <v>826</v>
      </c>
      <c r="C4" s="311">
        <v>39326</v>
      </c>
    </row>
    <row r="5" spans="1:4" ht="24" customHeight="1" x14ac:dyDescent="0.2">
      <c r="A5" s="304">
        <v>5</v>
      </c>
      <c r="B5" s="320" t="s">
        <v>821</v>
      </c>
      <c r="C5" s="311">
        <v>39326</v>
      </c>
    </row>
    <row r="6" spans="1:4" ht="24" customHeight="1" x14ac:dyDescent="0.2">
      <c r="A6" s="304">
        <v>6</v>
      </c>
      <c r="B6" s="320" t="s">
        <v>824</v>
      </c>
      <c r="C6" s="311">
        <v>39326</v>
      </c>
    </row>
    <row r="7" spans="1:4" ht="32.25" customHeight="1" x14ac:dyDescent="0.2">
      <c r="A7" s="304">
        <v>7</v>
      </c>
      <c r="B7" s="320" t="s">
        <v>823</v>
      </c>
      <c r="C7" s="311">
        <v>39326</v>
      </c>
    </row>
    <row r="8" spans="1:4" ht="24" customHeight="1" x14ac:dyDescent="0.2">
      <c r="A8" s="304">
        <v>8</v>
      </c>
      <c r="B8" s="320" t="s">
        <v>822</v>
      </c>
      <c r="C8" s="311">
        <v>39326</v>
      </c>
    </row>
    <row r="9" spans="1:4" ht="24" customHeight="1" x14ac:dyDescent="0.2">
      <c r="A9" s="304">
        <v>9</v>
      </c>
      <c r="B9" s="303" t="s">
        <v>829</v>
      </c>
      <c r="C9" s="311">
        <v>39326</v>
      </c>
    </row>
    <row r="10" spans="1:4" ht="24" customHeight="1" x14ac:dyDescent="0.2">
      <c r="A10" s="304">
        <v>10</v>
      </c>
      <c r="B10" s="319" t="s">
        <v>834</v>
      </c>
      <c r="C10" s="311">
        <v>40245</v>
      </c>
      <c r="D10" s="304" t="s">
        <v>838</v>
      </c>
    </row>
    <row r="11" spans="1:4" ht="24" customHeight="1" x14ac:dyDescent="0.2">
      <c r="A11" s="304">
        <v>11</v>
      </c>
      <c r="B11" s="319" t="s">
        <v>833</v>
      </c>
      <c r="C11" s="311">
        <v>40245</v>
      </c>
      <c r="D11" s="304" t="s">
        <v>838</v>
      </c>
    </row>
    <row r="12" spans="1:4" ht="24" customHeight="1" x14ac:dyDescent="0.2">
      <c r="A12" s="304">
        <v>12</v>
      </c>
      <c r="B12" s="319" t="s">
        <v>832</v>
      </c>
      <c r="C12" s="311">
        <v>40245</v>
      </c>
      <c r="D12" s="304" t="s">
        <v>838</v>
      </c>
    </row>
    <row r="13" spans="1:4" ht="24" customHeight="1" x14ac:dyDescent="0.2">
      <c r="A13" s="304">
        <v>13</v>
      </c>
      <c r="B13" s="319" t="s">
        <v>831</v>
      </c>
      <c r="C13" s="311">
        <v>40245</v>
      </c>
      <c r="D13" s="304" t="s">
        <v>838</v>
      </c>
    </row>
    <row r="14" spans="1:4" ht="24" customHeight="1" x14ac:dyDescent="0.2">
      <c r="A14" s="304">
        <v>14</v>
      </c>
      <c r="B14" s="319" t="s">
        <v>820</v>
      </c>
      <c r="C14" s="311">
        <v>40245</v>
      </c>
      <c r="D14" s="304" t="s">
        <v>838</v>
      </c>
    </row>
    <row r="15" spans="1:4" ht="24" customHeight="1" x14ac:dyDescent="0.2">
      <c r="A15" s="304">
        <v>15</v>
      </c>
      <c r="B15" s="319" t="s">
        <v>835</v>
      </c>
      <c r="C15" s="311">
        <v>40245</v>
      </c>
      <c r="D15" s="304" t="s">
        <v>838</v>
      </c>
    </row>
    <row r="16" spans="1:4" ht="24" customHeight="1" x14ac:dyDescent="0.2">
      <c r="A16" s="304">
        <v>16</v>
      </c>
      <c r="B16" s="319" t="s">
        <v>839</v>
      </c>
      <c r="C16" s="311">
        <v>40245</v>
      </c>
      <c r="D16" s="304" t="s">
        <v>838</v>
      </c>
    </row>
    <row r="17" spans="1:4" ht="24" customHeight="1" x14ac:dyDescent="0.2">
      <c r="A17" s="304">
        <v>17</v>
      </c>
      <c r="B17" s="319" t="s">
        <v>828</v>
      </c>
      <c r="C17" s="311">
        <v>40245</v>
      </c>
      <c r="D17" s="304" t="s">
        <v>838</v>
      </c>
    </row>
    <row r="18" spans="1:4" ht="24" customHeight="1" x14ac:dyDescent="0.2">
      <c r="A18" s="304">
        <v>18</v>
      </c>
      <c r="B18" s="303" t="s">
        <v>830</v>
      </c>
      <c r="C18" s="311">
        <v>40245</v>
      </c>
    </row>
    <row r="19" spans="1:4" ht="24" customHeight="1" thickBot="1" x14ac:dyDescent="0.25">
      <c r="A19" s="305">
        <v>19</v>
      </c>
      <c r="B19" s="320" t="s">
        <v>825</v>
      </c>
      <c r="C19" s="312">
        <v>41275</v>
      </c>
    </row>
  </sheetData>
  <mergeCells count="1">
    <mergeCell ref="A1:C1"/>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E21"/>
  <sheetViews>
    <sheetView tabSelected="1" zoomScaleNormal="100" workbookViewId="0">
      <pane xSplit="2" ySplit="4" topLeftCell="C5" activePane="bottomRight" state="frozen"/>
      <selection pane="topRight" activeCell="C1" sqref="C1"/>
      <selection pane="bottomLeft" activeCell="A5" sqref="A5"/>
      <selection pane="bottomRight" activeCell="B14" sqref="B14"/>
    </sheetView>
  </sheetViews>
  <sheetFormatPr defaultColWidth="9.140625" defaultRowHeight="15.75" x14ac:dyDescent="0.2"/>
  <cols>
    <col min="1" max="1" width="9.140625" style="22" customWidth="1"/>
    <col min="2" max="2" width="77.85546875" style="48" customWidth="1"/>
    <col min="3" max="5" width="17.42578125" style="18" customWidth="1"/>
    <col min="6" max="16384" width="9.140625" style="18"/>
  </cols>
  <sheetData>
    <row r="1" spans="1:5" s="17" customFormat="1" ht="87" customHeight="1" thickBot="1" x14ac:dyDescent="0.25">
      <c r="A1" s="722" t="s">
        <v>1098</v>
      </c>
      <c r="B1" s="723"/>
      <c r="C1" s="723"/>
      <c r="D1" s="723"/>
      <c r="E1" s="724"/>
    </row>
    <row r="2" spans="1:5" s="17" customFormat="1" ht="35.1" customHeight="1" x14ac:dyDescent="0.2">
      <c r="A2" s="725" t="s">
        <v>1257</v>
      </c>
      <c r="B2" s="726"/>
      <c r="C2" s="726"/>
      <c r="D2" s="726"/>
      <c r="E2" s="727"/>
    </row>
    <row r="3" spans="1:5" ht="43.5" customHeight="1" x14ac:dyDescent="0.2">
      <c r="A3" s="382" t="s">
        <v>205</v>
      </c>
      <c r="B3" s="384" t="s">
        <v>204</v>
      </c>
      <c r="C3" s="383" t="s">
        <v>304</v>
      </c>
      <c r="D3" s="383" t="s">
        <v>305</v>
      </c>
      <c r="E3" s="33" t="s">
        <v>227</v>
      </c>
    </row>
    <row r="4" spans="1:5" ht="17.25" customHeight="1" x14ac:dyDescent="0.2">
      <c r="A4" s="29"/>
      <c r="B4" s="328"/>
      <c r="C4" s="36" t="s">
        <v>286</v>
      </c>
      <c r="D4" s="36" t="s">
        <v>287</v>
      </c>
      <c r="E4" s="37" t="s">
        <v>30</v>
      </c>
    </row>
    <row r="5" spans="1:5" x14ac:dyDescent="0.2">
      <c r="A5" s="29">
        <v>1</v>
      </c>
      <c r="B5" s="328" t="s">
        <v>363</v>
      </c>
      <c r="C5" s="49">
        <f>C6</f>
        <v>42884865.829999998</v>
      </c>
      <c r="D5" s="49">
        <f>D6</f>
        <v>3163793</v>
      </c>
      <c r="E5" s="50">
        <f>SUM(C5:D5)</f>
        <v>46048658.829999998</v>
      </c>
    </row>
    <row r="6" spans="1:5" x14ac:dyDescent="0.2">
      <c r="A6" s="29">
        <f>A5+1</f>
        <v>2</v>
      </c>
      <c r="B6" s="25" t="s">
        <v>268</v>
      </c>
      <c r="C6" s="51">
        <v>42884865.829999998</v>
      </c>
      <c r="D6" s="51">
        <v>3163793</v>
      </c>
      <c r="E6" s="50">
        <f>SUM(C6:D6)</f>
        <v>46048658.829999998</v>
      </c>
    </row>
    <row r="7" spans="1:5" ht="15.75" customHeight="1" x14ac:dyDescent="0.2">
      <c r="A7" s="29">
        <f>A6+1</f>
        <v>3</v>
      </c>
      <c r="B7" s="328" t="s">
        <v>364</v>
      </c>
      <c r="C7" s="49">
        <f>SUM(C8:C12)</f>
        <v>14690640.17</v>
      </c>
      <c r="D7" s="49">
        <f>SUM(D8:D12)</f>
        <v>0</v>
      </c>
      <c r="E7" s="50">
        <f>SUM(C7:D7)</f>
        <v>14690640.17</v>
      </c>
    </row>
    <row r="8" spans="1:5" x14ac:dyDescent="0.2">
      <c r="A8" s="29">
        <f t="shared" ref="A8:A19" si="0">A7+1</f>
        <v>4</v>
      </c>
      <c r="B8" s="25" t="s">
        <v>269</v>
      </c>
      <c r="C8" s="51">
        <v>12674671.17</v>
      </c>
      <c r="D8" s="323" t="s">
        <v>317</v>
      </c>
      <c r="E8" s="50">
        <f t="shared" ref="E8:E19" si="1">SUM(C8:D8)</f>
        <v>12674671.17</v>
      </c>
    </row>
    <row r="9" spans="1:5" x14ac:dyDescent="0.2">
      <c r="A9" s="29">
        <f t="shared" si="0"/>
        <v>5</v>
      </c>
      <c r="B9" s="25" t="s">
        <v>270</v>
      </c>
      <c r="C9" s="51">
        <v>1689037</v>
      </c>
      <c r="D9" s="323" t="s">
        <v>317</v>
      </c>
      <c r="E9" s="50">
        <f t="shared" si="1"/>
        <v>1689037</v>
      </c>
    </row>
    <row r="10" spans="1:5" ht="26.25" customHeight="1" x14ac:dyDescent="0.2">
      <c r="A10" s="29">
        <f t="shared" si="0"/>
        <v>6</v>
      </c>
      <c r="B10" s="25" t="s">
        <v>271</v>
      </c>
      <c r="C10" s="323" t="s">
        <v>317</v>
      </c>
      <c r="D10" s="323" t="s">
        <v>317</v>
      </c>
      <c r="E10" s="50">
        <f t="shared" si="1"/>
        <v>0</v>
      </c>
    </row>
    <row r="11" spans="1:5" x14ac:dyDescent="0.2">
      <c r="A11" s="29">
        <f t="shared" si="0"/>
        <v>7</v>
      </c>
      <c r="B11" s="25" t="s">
        <v>272</v>
      </c>
      <c r="C11" s="323" t="s">
        <v>317</v>
      </c>
      <c r="D11" s="323" t="s">
        <v>317</v>
      </c>
      <c r="E11" s="50">
        <f t="shared" si="1"/>
        <v>0</v>
      </c>
    </row>
    <row r="12" spans="1:5" x14ac:dyDescent="0.2">
      <c r="A12" s="29">
        <f t="shared" si="0"/>
        <v>8</v>
      </c>
      <c r="B12" s="25" t="s">
        <v>144</v>
      </c>
      <c r="C12" s="51">
        <v>326932</v>
      </c>
      <c r="D12" s="323" t="s">
        <v>317</v>
      </c>
      <c r="E12" s="50">
        <f t="shared" si="1"/>
        <v>326932</v>
      </c>
    </row>
    <row r="13" spans="1:5" ht="15.75" customHeight="1" x14ac:dyDescent="0.2">
      <c r="A13" s="29">
        <f t="shared" si="0"/>
        <v>9</v>
      </c>
      <c r="B13" s="328" t="s">
        <v>365</v>
      </c>
      <c r="C13" s="49">
        <f>C14</f>
        <v>448849</v>
      </c>
      <c r="D13" s="49">
        <f>D14</f>
        <v>0</v>
      </c>
      <c r="E13" s="50">
        <f t="shared" si="1"/>
        <v>448849</v>
      </c>
    </row>
    <row r="14" spans="1:5" x14ac:dyDescent="0.2">
      <c r="A14" s="29">
        <f t="shared" si="0"/>
        <v>10</v>
      </c>
      <c r="B14" s="25" t="s">
        <v>145</v>
      </c>
      <c r="C14" s="51">
        <v>448849</v>
      </c>
      <c r="D14" s="51"/>
      <c r="E14" s="50">
        <f t="shared" si="1"/>
        <v>448849</v>
      </c>
    </row>
    <row r="15" spans="1:5" x14ac:dyDescent="0.2">
      <c r="A15" s="29">
        <f t="shared" si="0"/>
        <v>11</v>
      </c>
      <c r="B15" s="328" t="s">
        <v>366</v>
      </c>
      <c r="C15" s="49">
        <f>SUM(C16:C18)</f>
        <v>6779506</v>
      </c>
      <c r="D15" s="49">
        <f>SUM(D16:D18)</f>
        <v>0</v>
      </c>
      <c r="E15" s="50">
        <f t="shared" si="1"/>
        <v>6779506</v>
      </c>
    </row>
    <row r="16" spans="1:5" x14ac:dyDescent="0.2">
      <c r="A16" s="29">
        <f t="shared" si="0"/>
        <v>12</v>
      </c>
      <c r="B16" s="25" t="s">
        <v>146</v>
      </c>
      <c r="C16" s="51">
        <v>699911</v>
      </c>
      <c r="D16" s="323" t="s">
        <v>317</v>
      </c>
      <c r="E16" s="50">
        <f t="shared" si="1"/>
        <v>699911</v>
      </c>
    </row>
    <row r="17" spans="1:5" x14ac:dyDescent="0.2">
      <c r="A17" s="29">
        <f t="shared" si="0"/>
        <v>13</v>
      </c>
      <c r="B17" s="25" t="s">
        <v>147</v>
      </c>
      <c r="C17" s="51">
        <v>1945470</v>
      </c>
      <c r="D17" s="323" t="s">
        <v>317</v>
      </c>
      <c r="E17" s="50">
        <f t="shared" si="1"/>
        <v>1945470</v>
      </c>
    </row>
    <row r="18" spans="1:5" x14ac:dyDescent="0.2">
      <c r="A18" s="29">
        <f t="shared" si="0"/>
        <v>14</v>
      </c>
      <c r="B18" s="25" t="s">
        <v>148</v>
      </c>
      <c r="C18" s="51">
        <v>4134125</v>
      </c>
      <c r="D18" s="323" t="s">
        <v>317</v>
      </c>
      <c r="E18" s="50">
        <f t="shared" si="1"/>
        <v>4134125</v>
      </c>
    </row>
    <row r="19" spans="1:5" ht="16.5" thickBot="1" x14ac:dyDescent="0.25">
      <c r="A19" s="30">
        <f t="shared" si="0"/>
        <v>15</v>
      </c>
      <c r="B19" s="46" t="s">
        <v>367</v>
      </c>
      <c r="C19" s="52">
        <f>C5+C7+C13+C15</f>
        <v>64803861</v>
      </c>
      <c r="D19" s="52">
        <f>D5+D7+D13+D15</f>
        <v>3163793</v>
      </c>
      <c r="E19" s="53">
        <f t="shared" si="1"/>
        <v>67967654</v>
      </c>
    </row>
    <row r="20" spans="1:5" x14ac:dyDescent="0.2">
      <c r="A20" s="19"/>
      <c r="B20" s="47"/>
      <c r="C20" s="21"/>
      <c r="D20" s="21"/>
    </row>
    <row r="21" spans="1:5" x14ac:dyDescent="0.2">
      <c r="D21" s="488"/>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N56"/>
  <sheetViews>
    <sheetView zoomScaleNormal="100" workbookViewId="0">
      <pane xSplit="2" ySplit="4" topLeftCell="C18" activePane="bottomRight" state="frozen"/>
      <selection pane="topRight" activeCell="C1" sqref="C1"/>
      <selection pane="bottomLeft" activeCell="A5" sqref="A5"/>
      <selection pane="bottomRight" activeCell="F36" sqref="F36"/>
    </sheetView>
  </sheetViews>
  <sheetFormatPr defaultColWidth="9.140625" defaultRowHeight="15.75" x14ac:dyDescent="0.25"/>
  <cols>
    <col min="1" max="1" width="10.140625" style="3" customWidth="1"/>
    <col min="2" max="2" width="83" style="57" customWidth="1"/>
    <col min="3" max="3" width="15.42578125" style="1" customWidth="1"/>
    <col min="4" max="4" width="14.28515625" style="1" customWidth="1"/>
    <col min="5" max="5" width="14.7109375" style="1" customWidth="1"/>
    <col min="6" max="6" width="14.28515625" style="1" bestFit="1" customWidth="1"/>
    <col min="7" max="7" width="14" style="1" bestFit="1" customWidth="1"/>
    <col min="8" max="16384" width="9.140625" style="1"/>
  </cols>
  <sheetData>
    <row r="1" spans="1:7" ht="50.1" customHeight="1" thickBot="1" x14ac:dyDescent="0.3">
      <c r="A1" s="728" t="s">
        <v>1099</v>
      </c>
      <c r="B1" s="729"/>
      <c r="C1" s="729"/>
      <c r="D1" s="729"/>
      <c r="E1" s="730"/>
      <c r="F1" s="7"/>
      <c r="G1" s="7"/>
    </row>
    <row r="2" spans="1:7" s="17" customFormat="1" ht="38.25" customHeight="1" x14ac:dyDescent="0.2">
      <c r="A2" s="731" t="s">
        <v>1257</v>
      </c>
      <c r="B2" s="732"/>
      <c r="C2" s="732"/>
      <c r="D2" s="732"/>
      <c r="E2" s="733"/>
    </row>
    <row r="3" spans="1:7" s="10" customFormat="1" ht="35.25" customHeight="1" x14ac:dyDescent="0.25">
      <c r="A3" s="327" t="s">
        <v>205</v>
      </c>
      <c r="B3" s="337" t="s">
        <v>332</v>
      </c>
      <c r="C3" s="329" t="s">
        <v>304</v>
      </c>
      <c r="D3" s="329" t="s">
        <v>305</v>
      </c>
      <c r="E3" s="33" t="s">
        <v>227</v>
      </c>
    </row>
    <row r="4" spans="1:7" s="18" customFormat="1" ht="17.25" customHeight="1" x14ac:dyDescent="0.2">
      <c r="A4" s="29"/>
      <c r="B4" s="328"/>
      <c r="C4" s="36" t="s">
        <v>286</v>
      </c>
      <c r="D4" s="36" t="s">
        <v>287</v>
      </c>
      <c r="E4" s="37" t="s">
        <v>30</v>
      </c>
    </row>
    <row r="5" spans="1:7" ht="31.5" x14ac:dyDescent="0.25">
      <c r="A5" s="31">
        <v>1</v>
      </c>
      <c r="B5" s="54" t="s">
        <v>774</v>
      </c>
      <c r="C5" s="61">
        <f>SUM(C6:C8)</f>
        <v>889990.03</v>
      </c>
      <c r="D5" s="61">
        <f>SUM(D6:D8)</f>
        <v>0</v>
      </c>
      <c r="E5" s="138">
        <f>C5+D5</f>
        <v>889990.03</v>
      </c>
    </row>
    <row r="6" spans="1:7" x14ac:dyDescent="0.25">
      <c r="A6" s="31" t="s">
        <v>321</v>
      </c>
      <c r="B6" s="683" t="s">
        <v>1221</v>
      </c>
      <c r="C6" s="684">
        <v>79795</v>
      </c>
      <c r="D6" s="684"/>
      <c r="E6" s="138">
        <f t="shared" ref="E6:E36" si="0">C6+D6</f>
        <v>79795</v>
      </c>
    </row>
    <row r="7" spans="1:7" x14ac:dyDescent="0.25">
      <c r="A7" s="31" t="s">
        <v>389</v>
      </c>
      <c r="B7" s="683" t="s">
        <v>1222</v>
      </c>
      <c r="C7" s="684">
        <v>810195.03</v>
      </c>
      <c r="D7" s="685"/>
      <c r="E7" s="138"/>
    </row>
    <row r="8" spans="1:7" x14ac:dyDescent="0.25">
      <c r="A8" s="31"/>
      <c r="B8" s="55"/>
      <c r="C8" s="51"/>
      <c r="D8" s="51"/>
      <c r="E8" s="138"/>
    </row>
    <row r="9" spans="1:7" x14ac:dyDescent="0.25">
      <c r="A9" s="31">
        <v>2</v>
      </c>
      <c r="B9" s="54" t="s">
        <v>79</v>
      </c>
      <c r="C9" s="516">
        <f>SUM(C10:C16)</f>
        <v>623134.29</v>
      </c>
      <c r="D9" s="516">
        <f>SUM(D10:D16)</f>
        <v>0</v>
      </c>
      <c r="E9" s="559">
        <f t="shared" si="0"/>
        <v>623134.29</v>
      </c>
    </row>
    <row r="10" spans="1:7" x14ac:dyDescent="0.25">
      <c r="A10" s="686" t="s">
        <v>322</v>
      </c>
      <c r="B10" s="683" t="s">
        <v>1223</v>
      </c>
      <c r="C10" s="684">
        <v>4000</v>
      </c>
      <c r="D10" s="498"/>
      <c r="E10" s="559">
        <f t="shared" si="0"/>
        <v>4000</v>
      </c>
    </row>
    <row r="11" spans="1:7" x14ac:dyDescent="0.25">
      <c r="A11" s="686" t="s">
        <v>390</v>
      </c>
      <c r="B11" s="683" t="s">
        <v>1224</v>
      </c>
      <c r="C11" s="684">
        <v>1000</v>
      </c>
      <c r="D11" s="498"/>
      <c r="E11" s="559"/>
    </row>
    <row r="12" spans="1:7" x14ac:dyDescent="0.25">
      <c r="A12" s="686" t="s">
        <v>1229</v>
      </c>
      <c r="B12" s="683" t="s">
        <v>1225</v>
      </c>
      <c r="C12" s="684">
        <v>24500</v>
      </c>
      <c r="D12" s="498"/>
      <c r="E12" s="559"/>
    </row>
    <row r="13" spans="1:7" x14ac:dyDescent="0.25">
      <c r="A13" s="686" t="s">
        <v>1230</v>
      </c>
      <c r="B13" s="683" t="s">
        <v>1226</v>
      </c>
      <c r="C13" s="684">
        <v>950</v>
      </c>
      <c r="D13" s="498"/>
      <c r="E13" s="559"/>
    </row>
    <row r="14" spans="1:7" x14ac:dyDescent="0.25">
      <c r="A14" s="686" t="s">
        <v>1231</v>
      </c>
      <c r="B14" s="683" t="s">
        <v>1227</v>
      </c>
      <c r="C14" s="684">
        <v>580462.29</v>
      </c>
      <c r="D14" s="498"/>
      <c r="E14" s="559"/>
    </row>
    <row r="15" spans="1:7" x14ac:dyDescent="0.25">
      <c r="A15" s="686" t="s">
        <v>1232</v>
      </c>
      <c r="B15" s="683" t="s">
        <v>1228</v>
      </c>
      <c r="C15" s="684">
        <v>12222</v>
      </c>
      <c r="D15" s="498"/>
      <c r="E15" s="559"/>
    </row>
    <row r="16" spans="1:7" x14ac:dyDescent="0.25">
      <c r="A16" s="31"/>
      <c r="B16" s="689"/>
      <c r="C16" s="498"/>
      <c r="D16" s="498"/>
      <c r="E16" s="559"/>
    </row>
    <row r="17" spans="1:7" x14ac:dyDescent="0.25">
      <c r="A17" s="31">
        <v>3</v>
      </c>
      <c r="B17" s="54" t="s">
        <v>264</v>
      </c>
      <c r="C17" s="516">
        <f>SUM(C18:C21)</f>
        <v>367849.65</v>
      </c>
      <c r="D17" s="516">
        <f>SUM(D18:D21)</f>
        <v>5500</v>
      </c>
      <c r="E17" s="559">
        <f t="shared" si="0"/>
        <v>373349.65</v>
      </c>
    </row>
    <row r="18" spans="1:7" x14ac:dyDescent="0.25">
      <c r="A18" s="31" t="s">
        <v>323</v>
      </c>
      <c r="B18" s="687" t="s">
        <v>1233</v>
      </c>
      <c r="C18" s="684">
        <v>285674.65000000002</v>
      </c>
      <c r="D18" s="498">
        <v>5500</v>
      </c>
      <c r="E18" s="559">
        <f t="shared" si="0"/>
        <v>291174.65000000002</v>
      </c>
      <c r="G18" s="489"/>
    </row>
    <row r="19" spans="1:7" x14ac:dyDescent="0.25">
      <c r="A19" s="31" t="s">
        <v>391</v>
      </c>
      <c r="B19" s="687" t="s">
        <v>1234</v>
      </c>
      <c r="C19" s="684">
        <f>25953+9448</f>
        <v>35401</v>
      </c>
      <c r="D19" s="498"/>
      <c r="E19" s="559"/>
      <c r="G19" s="489"/>
    </row>
    <row r="20" spans="1:7" x14ac:dyDescent="0.25">
      <c r="A20" s="31" t="s">
        <v>1229</v>
      </c>
      <c r="B20" s="687" t="s">
        <v>1235</v>
      </c>
      <c r="C20" s="684">
        <v>46774</v>
      </c>
      <c r="D20" s="498"/>
      <c r="E20" s="559"/>
      <c r="G20" s="489"/>
    </row>
    <row r="21" spans="1:7" x14ac:dyDescent="0.25">
      <c r="A21" s="31"/>
      <c r="B21" s="137"/>
      <c r="C21" s="498"/>
      <c r="D21" s="498"/>
      <c r="E21" s="559"/>
      <c r="G21" s="489"/>
    </row>
    <row r="22" spans="1:7" x14ac:dyDescent="0.25">
      <c r="A22" s="31">
        <v>4</v>
      </c>
      <c r="B22" s="54" t="s">
        <v>265</v>
      </c>
      <c r="C22" s="516">
        <f>SUM(C23:C34)</f>
        <v>2168186.7599999998</v>
      </c>
      <c r="D22" s="516">
        <f>SUM(D23:D34)</f>
        <v>11280</v>
      </c>
      <c r="E22" s="559">
        <f t="shared" si="0"/>
        <v>2179466.7599999998</v>
      </c>
      <c r="G22" s="489"/>
    </row>
    <row r="23" spans="1:7" x14ac:dyDescent="0.25">
      <c r="A23" s="686" t="s">
        <v>245</v>
      </c>
      <c r="B23" s="683" t="s">
        <v>1236</v>
      </c>
      <c r="C23" s="688">
        <f>46500+491956+198043</f>
        <v>736499</v>
      </c>
      <c r="D23" s="688"/>
      <c r="E23" s="559">
        <f t="shared" si="0"/>
        <v>736499</v>
      </c>
    </row>
    <row r="24" spans="1:7" x14ac:dyDescent="0.25">
      <c r="A24" s="686" t="s">
        <v>392</v>
      </c>
      <c r="B24" s="683" t="s">
        <v>1237</v>
      </c>
      <c r="C24" s="688">
        <f>97552+574387+52800</f>
        <v>724739</v>
      </c>
      <c r="D24" s="688"/>
      <c r="E24" s="559"/>
    </row>
    <row r="25" spans="1:7" x14ac:dyDescent="0.25">
      <c r="A25" s="686" t="s">
        <v>1247</v>
      </c>
      <c r="B25" s="683" t="s">
        <v>1238</v>
      </c>
      <c r="C25" s="688">
        <v>52627</v>
      </c>
      <c r="D25" s="688"/>
      <c r="E25" s="559"/>
    </row>
    <row r="26" spans="1:7" x14ac:dyDescent="0.25">
      <c r="A26" s="686" t="s">
        <v>1248</v>
      </c>
      <c r="B26" s="55" t="s">
        <v>1239</v>
      </c>
      <c r="C26" s="688">
        <v>15404</v>
      </c>
      <c r="D26" s="688"/>
      <c r="E26" s="559"/>
    </row>
    <row r="27" spans="1:7" x14ac:dyDescent="0.25">
      <c r="A27" s="686" t="s">
        <v>1249</v>
      </c>
      <c r="B27" s="55" t="s">
        <v>1240</v>
      </c>
      <c r="C27" s="688">
        <v>6398</v>
      </c>
      <c r="D27" s="688"/>
      <c r="E27" s="559"/>
    </row>
    <row r="28" spans="1:7" x14ac:dyDescent="0.25">
      <c r="A28" s="686" t="s">
        <v>1250</v>
      </c>
      <c r="B28" s="683" t="s">
        <v>1241</v>
      </c>
      <c r="C28" s="688">
        <f>13813+1324+661</f>
        <v>15798</v>
      </c>
      <c r="D28" s="688"/>
      <c r="E28" s="559"/>
    </row>
    <row r="29" spans="1:7" x14ac:dyDescent="0.25">
      <c r="A29" s="686" t="s">
        <v>1251</v>
      </c>
      <c r="B29" s="683" t="s">
        <v>81</v>
      </c>
      <c r="C29" s="688">
        <f>36779+3200</f>
        <v>39979</v>
      </c>
      <c r="D29" s="688">
        <v>11280</v>
      </c>
      <c r="E29" s="559"/>
    </row>
    <row r="30" spans="1:7" x14ac:dyDescent="0.25">
      <c r="A30" s="686" t="s">
        <v>1252</v>
      </c>
      <c r="B30" s="683" t="s">
        <v>1242</v>
      </c>
      <c r="C30" s="688">
        <v>482679.76</v>
      </c>
      <c r="D30" s="688"/>
      <c r="E30" s="559"/>
    </row>
    <row r="31" spans="1:7" x14ac:dyDescent="0.25">
      <c r="A31" s="686" t="s">
        <v>1253</v>
      </c>
      <c r="B31" s="683" t="s">
        <v>1243</v>
      </c>
      <c r="C31" s="688">
        <v>49509</v>
      </c>
      <c r="D31" s="688"/>
      <c r="E31" s="559"/>
    </row>
    <row r="32" spans="1:7" x14ac:dyDescent="0.25">
      <c r="A32" s="686" t="s">
        <v>1254</v>
      </c>
      <c r="B32" s="683" t="s">
        <v>1244</v>
      </c>
      <c r="C32" s="688">
        <v>15040</v>
      </c>
      <c r="D32" s="688"/>
      <c r="E32" s="559"/>
    </row>
    <row r="33" spans="1:14" x14ac:dyDescent="0.25">
      <c r="A33" s="686" t="s">
        <v>1255</v>
      </c>
      <c r="B33" s="683" t="s">
        <v>1245</v>
      </c>
      <c r="C33" s="688">
        <v>15127</v>
      </c>
      <c r="D33" s="688"/>
      <c r="E33" s="559"/>
    </row>
    <row r="34" spans="1:14" x14ac:dyDescent="0.25">
      <c r="A34" s="686" t="s">
        <v>1256</v>
      </c>
      <c r="B34" s="683" t="s">
        <v>1246</v>
      </c>
      <c r="C34" s="688">
        <v>14387</v>
      </c>
      <c r="D34" s="688"/>
      <c r="E34" s="559">
        <f t="shared" si="0"/>
        <v>14387</v>
      </c>
    </row>
    <row r="35" spans="1:14" x14ac:dyDescent="0.25">
      <c r="A35" s="31"/>
      <c r="B35" s="55"/>
      <c r="C35" s="498"/>
      <c r="D35" s="498"/>
      <c r="E35" s="559">
        <f t="shared" si="0"/>
        <v>0</v>
      </c>
    </row>
    <row r="36" spans="1:14" ht="16.5" thickBot="1" x14ac:dyDescent="0.3">
      <c r="A36" s="32">
        <v>5</v>
      </c>
      <c r="B36" s="56" t="s">
        <v>306</v>
      </c>
      <c r="C36" s="520">
        <f>C5+C9+C17+C22</f>
        <v>4049160.73</v>
      </c>
      <c r="D36" s="520">
        <f>D5+D9+D17+D22</f>
        <v>16780</v>
      </c>
      <c r="E36" s="561">
        <f t="shared" si="0"/>
        <v>4065940.73</v>
      </c>
    </row>
    <row r="38" spans="1:14" s="219" customFormat="1" x14ac:dyDescent="0.25">
      <c r="A38" s="217"/>
      <c r="B38" s="218" t="s">
        <v>775</v>
      </c>
    </row>
    <row r="39" spans="1:14" x14ac:dyDescent="0.25">
      <c r="D39" s="489"/>
      <c r="E39" s="489"/>
      <c r="F39" s="489"/>
      <c r="G39" s="489"/>
      <c r="H39" s="489"/>
      <c r="I39" s="489"/>
      <c r="J39" s="489"/>
      <c r="K39" s="489"/>
      <c r="L39" s="489"/>
      <c r="M39" s="489"/>
      <c r="N39" s="489"/>
    </row>
    <row r="40" spans="1:14" x14ac:dyDescent="0.25">
      <c r="D40" s="489"/>
      <c r="E40" s="489"/>
      <c r="F40" s="489"/>
      <c r="G40" s="489"/>
      <c r="H40" s="489"/>
      <c r="I40" s="489"/>
      <c r="J40" s="489"/>
      <c r="K40" s="489"/>
      <c r="L40" s="489"/>
      <c r="M40" s="489"/>
      <c r="N40" s="489"/>
    </row>
    <row r="41" spans="1:14" x14ac:dyDescent="0.25">
      <c r="D41" s="489"/>
      <c r="E41" s="489"/>
      <c r="F41" s="489"/>
      <c r="G41" s="489"/>
      <c r="H41" s="489"/>
      <c r="I41" s="489"/>
      <c r="J41" s="489"/>
      <c r="K41" s="489"/>
      <c r="L41" s="489"/>
      <c r="M41" s="489"/>
      <c r="N41" s="489"/>
    </row>
    <row r="42" spans="1:14" x14ac:dyDescent="0.25">
      <c r="D42" s="489"/>
      <c r="E42" s="489"/>
      <c r="F42" s="489"/>
      <c r="G42" s="489"/>
      <c r="H42" s="489"/>
      <c r="I42" s="489"/>
      <c r="J42" s="489"/>
      <c r="K42" s="489"/>
      <c r="L42" s="489"/>
      <c r="M42" s="489"/>
      <c r="N42" s="489"/>
    </row>
    <row r="43" spans="1:14" x14ac:dyDescent="0.25">
      <c r="D43" s="489"/>
      <c r="E43" s="489"/>
      <c r="F43" s="489"/>
      <c r="G43" s="489"/>
      <c r="H43" s="489"/>
      <c r="I43" s="489"/>
      <c r="J43" s="489"/>
      <c r="K43" s="489"/>
      <c r="L43" s="489"/>
      <c r="M43" s="489"/>
      <c r="N43" s="489"/>
    </row>
    <row r="44" spans="1:14" x14ac:dyDescent="0.25">
      <c r="D44" s="489"/>
      <c r="E44" s="489"/>
      <c r="F44" s="489"/>
      <c r="G44" s="489"/>
      <c r="H44" s="489"/>
      <c r="I44" s="489"/>
      <c r="J44" s="489"/>
      <c r="K44" s="489"/>
      <c r="L44" s="489"/>
      <c r="M44" s="489"/>
      <c r="N44" s="489"/>
    </row>
    <row r="45" spans="1:14" x14ac:dyDescent="0.25">
      <c r="D45" s="489"/>
      <c r="E45" s="489"/>
      <c r="F45" s="489"/>
      <c r="G45" s="489"/>
      <c r="H45" s="489"/>
      <c r="I45" s="489"/>
      <c r="J45" s="489"/>
      <c r="K45" s="489"/>
      <c r="L45" s="489"/>
      <c r="M45" s="489"/>
      <c r="N45" s="489"/>
    </row>
    <row r="46" spans="1:14" x14ac:dyDescent="0.25">
      <c r="D46" s="489"/>
      <c r="E46" s="489"/>
      <c r="F46" s="489"/>
      <c r="G46" s="489"/>
      <c r="H46" s="489"/>
      <c r="I46" s="489"/>
      <c r="J46" s="489"/>
      <c r="K46" s="489"/>
      <c r="L46" s="489"/>
      <c r="M46" s="489"/>
      <c r="N46" s="489"/>
    </row>
    <row r="47" spans="1:14" x14ac:dyDescent="0.25">
      <c r="D47" s="489"/>
      <c r="E47" s="489"/>
      <c r="F47" s="489"/>
      <c r="G47" s="489"/>
      <c r="H47" s="489"/>
      <c r="I47" s="489"/>
      <c r="J47" s="489"/>
      <c r="K47" s="489"/>
      <c r="L47" s="489"/>
      <c r="M47" s="489"/>
      <c r="N47" s="489"/>
    </row>
    <row r="48" spans="1:14" x14ac:dyDescent="0.25">
      <c r="D48" s="489"/>
      <c r="E48" s="489"/>
      <c r="F48" s="489"/>
      <c r="G48" s="489"/>
      <c r="H48" s="489"/>
      <c r="I48" s="489"/>
      <c r="J48" s="489"/>
      <c r="K48" s="489"/>
      <c r="L48" s="489"/>
      <c r="M48" s="489"/>
      <c r="N48" s="489"/>
    </row>
    <row r="49" spans="4:14" x14ac:dyDescent="0.25">
      <c r="D49" s="489"/>
      <c r="E49" s="489"/>
      <c r="F49" s="489"/>
      <c r="G49" s="489"/>
      <c r="H49" s="489"/>
      <c r="I49" s="489"/>
      <c r="J49" s="489"/>
      <c r="K49" s="489"/>
      <c r="L49" s="489"/>
      <c r="M49" s="489"/>
      <c r="N49" s="489"/>
    </row>
    <row r="50" spans="4:14" x14ac:dyDescent="0.25">
      <c r="D50" s="489"/>
      <c r="E50" s="489"/>
      <c r="F50" s="489"/>
      <c r="G50" s="489"/>
      <c r="H50" s="489"/>
      <c r="I50" s="489"/>
      <c r="J50" s="489"/>
      <c r="K50" s="489"/>
      <c r="L50" s="489"/>
      <c r="M50" s="489"/>
      <c r="N50" s="489"/>
    </row>
    <row r="51" spans="4:14" x14ac:dyDescent="0.25">
      <c r="D51" s="489"/>
      <c r="E51" s="489"/>
      <c r="F51" s="489"/>
      <c r="G51" s="489"/>
      <c r="H51" s="489"/>
      <c r="I51" s="489"/>
      <c r="J51" s="489"/>
      <c r="K51" s="489"/>
      <c r="L51" s="489"/>
      <c r="M51" s="489"/>
      <c r="N51" s="489"/>
    </row>
    <row r="52" spans="4:14" x14ac:dyDescent="0.25">
      <c r="D52" s="489"/>
      <c r="E52" s="489"/>
      <c r="F52" s="489"/>
      <c r="G52" s="489"/>
      <c r="H52" s="489"/>
      <c r="I52" s="489"/>
      <c r="J52" s="489"/>
      <c r="K52" s="489"/>
      <c r="L52" s="489"/>
      <c r="M52" s="489"/>
      <c r="N52" s="489"/>
    </row>
    <row r="53" spans="4:14" x14ac:dyDescent="0.25">
      <c r="D53" s="489"/>
      <c r="E53" s="489"/>
      <c r="F53" s="489"/>
      <c r="G53" s="489"/>
      <c r="H53" s="489"/>
      <c r="I53" s="489"/>
      <c r="J53" s="489"/>
      <c r="K53" s="489"/>
      <c r="L53" s="489"/>
      <c r="M53" s="489"/>
      <c r="N53" s="489"/>
    </row>
    <row r="54" spans="4:14" x14ac:dyDescent="0.25">
      <c r="D54" s="489"/>
      <c r="E54" s="489"/>
      <c r="F54" s="489"/>
      <c r="G54" s="489"/>
      <c r="H54" s="489"/>
      <c r="I54" s="489"/>
      <c r="J54" s="489"/>
      <c r="K54" s="489"/>
      <c r="L54" s="489"/>
      <c r="M54" s="489"/>
      <c r="N54" s="489"/>
    </row>
    <row r="55" spans="4:14" x14ac:dyDescent="0.25">
      <c r="D55" s="489"/>
      <c r="E55" s="489"/>
      <c r="F55" s="489"/>
      <c r="G55" s="489"/>
      <c r="H55" s="489"/>
      <c r="I55" s="489"/>
      <c r="J55" s="489"/>
      <c r="K55" s="489"/>
      <c r="L55" s="489"/>
      <c r="M55" s="489"/>
      <c r="N55" s="489"/>
    </row>
    <row r="56" spans="4:14" x14ac:dyDescent="0.25">
      <c r="D56" s="489"/>
      <c r="E56" s="489"/>
      <c r="F56" s="489"/>
      <c r="G56" s="489"/>
      <c r="H56" s="489"/>
      <c r="I56" s="489"/>
      <c r="J56" s="489"/>
      <c r="K56" s="489"/>
      <c r="L56" s="489"/>
      <c r="M56" s="489"/>
      <c r="N56" s="489"/>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67"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H73"/>
  <sheetViews>
    <sheetView zoomScaleNormal="100" workbookViewId="0">
      <pane xSplit="2" ySplit="5" topLeftCell="C62" activePane="bottomRight" state="frozen"/>
      <selection pane="topRight" activeCell="C1" sqref="C1"/>
      <selection pane="bottomLeft" activeCell="A6" sqref="A6"/>
      <selection pane="bottomRight" activeCell="D81" sqref="D81"/>
    </sheetView>
  </sheetViews>
  <sheetFormatPr defaultColWidth="9.140625" defaultRowHeight="15.75" x14ac:dyDescent="0.25"/>
  <cols>
    <col min="1" max="1" width="7.85546875" style="3" customWidth="1"/>
    <col min="2" max="2" width="79.85546875" style="132" customWidth="1"/>
    <col min="3" max="3" width="16.42578125" style="133" customWidth="1"/>
    <col min="4" max="4" width="17.28515625" style="133" bestFit="1" customWidth="1"/>
    <col min="5" max="5" width="16.42578125" style="133" customWidth="1"/>
    <col min="6" max="6" width="19.140625" style="133" customWidth="1"/>
    <col min="7" max="7" width="16.85546875" style="133" customWidth="1"/>
    <col min="8" max="8" width="17.28515625" style="133" customWidth="1"/>
    <col min="9" max="16384" width="9.140625" style="1"/>
  </cols>
  <sheetData>
    <row r="1" spans="1:8" ht="35.1" customHeight="1" thickBot="1" x14ac:dyDescent="0.3">
      <c r="A1" s="740" t="s">
        <v>1100</v>
      </c>
      <c r="B1" s="741"/>
      <c r="C1" s="741"/>
      <c r="D1" s="741"/>
      <c r="E1" s="741"/>
      <c r="F1" s="741"/>
      <c r="G1" s="741"/>
      <c r="H1" s="742"/>
    </row>
    <row r="2" spans="1:8" ht="31.9" customHeight="1" x14ac:dyDescent="0.25">
      <c r="A2" s="725" t="s">
        <v>1258</v>
      </c>
      <c r="B2" s="726"/>
      <c r="C2" s="726"/>
      <c r="D2" s="726"/>
      <c r="E2" s="726"/>
      <c r="F2" s="726"/>
      <c r="G2" s="726"/>
      <c r="H2" s="727"/>
    </row>
    <row r="3" spans="1:8" ht="24" customHeight="1" x14ac:dyDescent="0.25">
      <c r="A3" s="743" t="s">
        <v>205</v>
      </c>
      <c r="B3" s="744" t="s">
        <v>332</v>
      </c>
      <c r="C3" s="746">
        <v>2017</v>
      </c>
      <c r="D3" s="747"/>
      <c r="E3" s="746">
        <v>2018</v>
      </c>
      <c r="F3" s="747"/>
      <c r="G3" s="746" t="s">
        <v>1101</v>
      </c>
      <c r="H3" s="748"/>
    </row>
    <row r="4" spans="1:8" s="10" customFormat="1" ht="31.5" x14ac:dyDescent="0.25">
      <c r="A4" s="743"/>
      <c r="B4" s="745"/>
      <c r="C4" s="553" t="s">
        <v>333</v>
      </c>
      <c r="D4" s="553" t="s">
        <v>334</v>
      </c>
      <c r="E4" s="553" t="s">
        <v>333</v>
      </c>
      <c r="F4" s="553" t="s">
        <v>334</v>
      </c>
      <c r="G4" s="553" t="s">
        <v>333</v>
      </c>
      <c r="H4" s="555" t="s">
        <v>334</v>
      </c>
    </row>
    <row r="5" spans="1:8" s="10" customFormat="1" x14ac:dyDescent="0.25">
      <c r="A5" s="551"/>
      <c r="B5" s="328"/>
      <c r="C5" s="553" t="s">
        <v>286</v>
      </c>
      <c r="D5" s="553" t="s">
        <v>287</v>
      </c>
      <c r="E5" s="553" t="s">
        <v>288</v>
      </c>
      <c r="F5" s="553" t="s">
        <v>295</v>
      </c>
      <c r="G5" s="553" t="s">
        <v>31</v>
      </c>
      <c r="H5" s="555" t="s">
        <v>32</v>
      </c>
    </row>
    <row r="6" spans="1:8" x14ac:dyDescent="0.25">
      <c r="A6" s="31">
        <v>1</v>
      </c>
      <c r="B6" s="64" t="s">
        <v>260</v>
      </c>
      <c r="C6" s="516">
        <f>SUM(C7:C10)</f>
        <v>0</v>
      </c>
      <c r="D6" s="516">
        <f>SUM(D7:D10)</f>
        <v>88242.76</v>
      </c>
      <c r="E6" s="516">
        <f>SUM(E7:E10)</f>
        <v>0</v>
      </c>
      <c r="F6" s="516">
        <f>SUM(F7:F10)</f>
        <v>72634.58</v>
      </c>
      <c r="G6" s="566">
        <f t="shared" ref="G6:H38" si="0">E6-C6</f>
        <v>0</v>
      </c>
      <c r="H6" s="567">
        <f t="shared" si="0"/>
        <v>-15608.179999999993</v>
      </c>
    </row>
    <row r="7" spans="1:8" x14ac:dyDescent="0.25">
      <c r="A7" s="31">
        <f t="shared" ref="A7:A37" si="1">A6+1</f>
        <v>2</v>
      </c>
      <c r="B7" s="299" t="s">
        <v>278</v>
      </c>
      <c r="C7" s="568">
        <v>0</v>
      </c>
      <c r="D7" s="568">
        <v>0</v>
      </c>
      <c r="E7" s="568">
        <v>0</v>
      </c>
      <c r="F7" s="568">
        <v>0</v>
      </c>
      <c r="G7" s="566">
        <f t="shared" si="0"/>
        <v>0</v>
      </c>
      <c r="H7" s="567">
        <f t="shared" si="0"/>
        <v>0</v>
      </c>
    </row>
    <row r="8" spans="1:8" x14ac:dyDescent="0.25">
      <c r="A8" s="31">
        <f t="shared" si="1"/>
        <v>3</v>
      </c>
      <c r="B8" s="299" t="s">
        <v>302</v>
      </c>
      <c r="C8" s="568">
        <v>0</v>
      </c>
      <c r="D8" s="568">
        <v>0</v>
      </c>
      <c r="E8" s="568">
        <v>0</v>
      </c>
      <c r="F8" s="568">
        <v>0</v>
      </c>
      <c r="G8" s="566">
        <f t="shared" si="0"/>
        <v>0</v>
      </c>
      <c r="H8" s="567">
        <f t="shared" si="0"/>
        <v>0</v>
      </c>
    </row>
    <row r="9" spans="1:8" x14ac:dyDescent="0.25">
      <c r="A9" s="31">
        <f t="shared" si="1"/>
        <v>4</v>
      </c>
      <c r="B9" s="299" t="s">
        <v>62</v>
      </c>
      <c r="C9" s="568">
        <v>0</v>
      </c>
      <c r="D9" s="568">
        <v>0</v>
      </c>
      <c r="E9" s="568">
        <v>0</v>
      </c>
      <c r="F9" s="568">
        <v>0</v>
      </c>
      <c r="G9" s="566">
        <f t="shared" si="0"/>
        <v>0</v>
      </c>
      <c r="H9" s="567">
        <f t="shared" si="0"/>
        <v>0</v>
      </c>
    </row>
    <row r="10" spans="1:8" x14ac:dyDescent="0.25">
      <c r="A10" s="31">
        <f t="shared" si="1"/>
        <v>5</v>
      </c>
      <c r="B10" s="299" t="s">
        <v>301</v>
      </c>
      <c r="C10" s="568">
        <v>0</v>
      </c>
      <c r="D10" s="568">
        <v>88242.76</v>
      </c>
      <c r="E10" s="568">
        <v>0</v>
      </c>
      <c r="F10" s="568">
        <v>72634.58</v>
      </c>
      <c r="G10" s="566">
        <f t="shared" si="0"/>
        <v>0</v>
      </c>
      <c r="H10" s="567">
        <f t="shared" si="0"/>
        <v>-15608.179999999993</v>
      </c>
    </row>
    <row r="11" spans="1:8" x14ac:dyDescent="0.25">
      <c r="A11" s="31">
        <f t="shared" si="1"/>
        <v>6</v>
      </c>
      <c r="B11" s="316" t="s">
        <v>810</v>
      </c>
      <c r="C11" s="516">
        <f>SUM(C12:C15)</f>
        <v>4779820.8500000006</v>
      </c>
      <c r="D11" s="516">
        <f>SUM(D12:D15)</f>
        <v>5104149.2699999996</v>
      </c>
      <c r="E11" s="516">
        <f>SUM(E12:E15)</f>
        <v>4640311.32</v>
      </c>
      <c r="F11" s="516">
        <f>SUM(F12:F15)</f>
        <v>6370061.6200000001</v>
      </c>
      <c r="G11" s="566">
        <f t="shared" si="0"/>
        <v>-139509.53000000026</v>
      </c>
      <c r="H11" s="567">
        <f t="shared" si="0"/>
        <v>1265912.3500000006</v>
      </c>
    </row>
    <row r="12" spans="1:8" x14ac:dyDescent="0.25">
      <c r="A12" s="31">
        <f t="shared" si="1"/>
        <v>7</v>
      </c>
      <c r="B12" s="299" t="s">
        <v>96</v>
      </c>
      <c r="C12" s="568">
        <v>4034529.14</v>
      </c>
      <c r="D12" s="568">
        <v>0</v>
      </c>
      <c r="E12" s="568">
        <v>3952145.62</v>
      </c>
      <c r="F12" s="568">
        <v>0</v>
      </c>
      <c r="G12" s="566">
        <f t="shared" si="0"/>
        <v>-82383.520000000019</v>
      </c>
      <c r="H12" s="567">
        <f t="shared" si="0"/>
        <v>0</v>
      </c>
    </row>
    <row r="13" spans="1:8" x14ac:dyDescent="0.25">
      <c r="A13" s="31">
        <f t="shared" si="1"/>
        <v>8</v>
      </c>
      <c r="B13" s="299" t="s">
        <v>97</v>
      </c>
      <c r="C13" s="568">
        <v>552379.17000000004</v>
      </c>
      <c r="D13" s="568">
        <v>0</v>
      </c>
      <c r="E13" s="568">
        <v>457881.78</v>
      </c>
      <c r="F13" s="568">
        <v>0</v>
      </c>
      <c r="G13" s="566">
        <f t="shared" si="0"/>
        <v>-94497.390000000014</v>
      </c>
      <c r="H13" s="567">
        <f t="shared" si="0"/>
        <v>0</v>
      </c>
    </row>
    <row r="14" spans="1:8" x14ac:dyDescent="0.25">
      <c r="A14" s="31">
        <f t="shared" si="1"/>
        <v>9</v>
      </c>
      <c r="B14" s="299" t="s">
        <v>98</v>
      </c>
      <c r="C14" s="568">
        <v>0</v>
      </c>
      <c r="D14" s="568">
        <v>1346765.5</v>
      </c>
      <c r="E14" s="568">
        <v>0</v>
      </c>
      <c r="F14" s="568">
        <v>1782741.26</v>
      </c>
      <c r="G14" s="566">
        <f t="shared" si="0"/>
        <v>0</v>
      </c>
      <c r="H14" s="567">
        <f t="shared" si="0"/>
        <v>435975.76</v>
      </c>
    </row>
    <row r="15" spans="1:8" ht="31.5" x14ac:dyDescent="0.25">
      <c r="A15" s="267">
        <f t="shared" si="1"/>
        <v>10</v>
      </c>
      <c r="B15" s="299" t="s">
        <v>923</v>
      </c>
      <c r="C15" s="568">
        <v>192912.54</v>
      </c>
      <c r="D15" s="568">
        <v>3757383.77</v>
      </c>
      <c r="E15" s="568">
        <v>230283.92</v>
      </c>
      <c r="F15" s="568">
        <v>4587320.3600000003</v>
      </c>
      <c r="G15" s="566">
        <f t="shared" si="0"/>
        <v>37371.380000000005</v>
      </c>
      <c r="H15" s="567">
        <f t="shared" si="0"/>
        <v>829936.59000000032</v>
      </c>
    </row>
    <row r="16" spans="1:8" x14ac:dyDescent="0.25">
      <c r="A16" s="31">
        <f t="shared" si="1"/>
        <v>11</v>
      </c>
      <c r="B16" s="316" t="s">
        <v>28</v>
      </c>
      <c r="C16" s="568">
        <v>0</v>
      </c>
      <c r="D16" s="568">
        <v>100075.14</v>
      </c>
      <c r="E16" s="568">
        <v>0</v>
      </c>
      <c r="F16" s="568">
        <v>91814.24</v>
      </c>
      <c r="G16" s="566">
        <f t="shared" si="0"/>
        <v>0</v>
      </c>
      <c r="H16" s="567">
        <f t="shared" si="0"/>
        <v>-8260.8999999999942</v>
      </c>
    </row>
    <row r="17" spans="1:8" x14ac:dyDescent="0.25">
      <c r="A17" s="31">
        <f t="shared" si="1"/>
        <v>12</v>
      </c>
      <c r="B17" s="316" t="s">
        <v>907</v>
      </c>
      <c r="C17" s="568">
        <v>44696.39</v>
      </c>
      <c r="D17" s="568">
        <v>-37109.160000000003</v>
      </c>
      <c r="E17" s="568">
        <v>64387.23</v>
      </c>
      <c r="F17" s="568">
        <v>-26239.040000000001</v>
      </c>
      <c r="G17" s="566">
        <f t="shared" si="0"/>
        <v>19690.840000000004</v>
      </c>
      <c r="H17" s="567">
        <f t="shared" si="0"/>
        <v>10870.120000000003</v>
      </c>
    </row>
    <row r="18" spans="1:8" x14ac:dyDescent="0.25">
      <c r="A18" s="31">
        <f t="shared" si="1"/>
        <v>13</v>
      </c>
      <c r="B18" s="316" t="s">
        <v>908</v>
      </c>
      <c r="C18" s="568">
        <v>24</v>
      </c>
      <c r="D18" s="568">
        <v>0</v>
      </c>
      <c r="E18" s="568">
        <v>0</v>
      </c>
      <c r="F18" s="568">
        <v>0</v>
      </c>
      <c r="G18" s="566">
        <f t="shared" si="0"/>
        <v>-24</v>
      </c>
      <c r="H18" s="567">
        <f t="shared" si="0"/>
        <v>0</v>
      </c>
    </row>
    <row r="19" spans="1:8" x14ac:dyDescent="0.25">
      <c r="A19" s="31">
        <f t="shared" si="1"/>
        <v>14</v>
      </c>
      <c r="B19" s="316" t="s">
        <v>339</v>
      </c>
      <c r="C19" s="568">
        <v>14825.84</v>
      </c>
      <c r="D19" s="568">
        <v>17814.71</v>
      </c>
      <c r="E19" s="568">
        <v>1497.66</v>
      </c>
      <c r="F19" s="568">
        <v>17940.38</v>
      </c>
      <c r="G19" s="566">
        <f t="shared" si="0"/>
        <v>-13328.18</v>
      </c>
      <c r="H19" s="567">
        <f t="shared" si="0"/>
        <v>125.67000000000189</v>
      </c>
    </row>
    <row r="20" spans="1:8" x14ac:dyDescent="0.25">
      <c r="A20" s="31">
        <f t="shared" si="1"/>
        <v>15</v>
      </c>
      <c r="B20" s="316" t="s">
        <v>340</v>
      </c>
      <c r="C20" s="568">
        <v>0</v>
      </c>
      <c r="D20" s="568">
        <v>0</v>
      </c>
      <c r="E20" s="568">
        <v>0</v>
      </c>
      <c r="F20" s="568">
        <v>0</v>
      </c>
      <c r="G20" s="566">
        <f t="shared" si="0"/>
        <v>0</v>
      </c>
      <c r="H20" s="567">
        <f t="shared" si="0"/>
        <v>0</v>
      </c>
    </row>
    <row r="21" spans="1:8" x14ac:dyDescent="0.25">
      <c r="A21" s="31">
        <f t="shared" si="1"/>
        <v>16</v>
      </c>
      <c r="B21" s="316" t="s">
        <v>811</v>
      </c>
      <c r="C21" s="516">
        <f>SUM(C22:C23)</f>
        <v>0</v>
      </c>
      <c r="D21" s="516">
        <f>SUM(D22:D23)</f>
        <v>991.38</v>
      </c>
      <c r="E21" s="516">
        <f>SUM(E22:E23)</f>
        <v>0</v>
      </c>
      <c r="F21" s="516">
        <f>SUM(F22:F23)</f>
        <v>1176.3699999999999</v>
      </c>
      <c r="G21" s="566">
        <f t="shared" si="0"/>
        <v>0</v>
      </c>
      <c r="H21" s="567">
        <f t="shared" si="0"/>
        <v>184.9899999999999</v>
      </c>
    </row>
    <row r="22" spans="1:8" x14ac:dyDescent="0.25">
      <c r="A22" s="31">
        <f t="shared" si="1"/>
        <v>17</v>
      </c>
      <c r="B22" s="299" t="s">
        <v>102</v>
      </c>
      <c r="C22" s="568"/>
      <c r="D22" s="568"/>
      <c r="E22" s="568">
        <v>0</v>
      </c>
      <c r="F22" s="568"/>
      <c r="G22" s="566">
        <f t="shared" si="0"/>
        <v>0</v>
      </c>
      <c r="H22" s="567">
        <f t="shared" si="0"/>
        <v>0</v>
      </c>
    </row>
    <row r="23" spans="1:8" x14ac:dyDescent="0.25">
      <c r="A23" s="31">
        <f t="shared" si="1"/>
        <v>18</v>
      </c>
      <c r="B23" s="299" t="s">
        <v>103</v>
      </c>
      <c r="C23" s="568">
        <v>0</v>
      </c>
      <c r="D23" s="569">
        <v>991.38</v>
      </c>
      <c r="E23" s="568">
        <v>0</v>
      </c>
      <c r="F23" s="569">
        <v>1176.3699999999999</v>
      </c>
      <c r="G23" s="566">
        <f t="shared" si="0"/>
        <v>0</v>
      </c>
      <c r="H23" s="567">
        <f t="shared" si="0"/>
        <v>184.9899999999999</v>
      </c>
    </row>
    <row r="24" spans="1:8" x14ac:dyDescent="0.25">
      <c r="A24" s="31">
        <f t="shared" si="1"/>
        <v>19</v>
      </c>
      <c r="B24" s="316" t="s">
        <v>341</v>
      </c>
      <c r="C24" s="568">
        <v>288.22000000000003</v>
      </c>
      <c r="D24" s="568">
        <v>3.02</v>
      </c>
      <c r="E24" s="568">
        <v>65.2</v>
      </c>
      <c r="F24" s="568">
        <v>0</v>
      </c>
      <c r="G24" s="566">
        <f t="shared" si="0"/>
        <v>-223.02000000000004</v>
      </c>
      <c r="H24" s="567">
        <f t="shared" si="0"/>
        <v>-3.02</v>
      </c>
    </row>
    <row r="25" spans="1:8" x14ac:dyDescent="0.25">
      <c r="A25" s="31">
        <f t="shared" si="1"/>
        <v>20</v>
      </c>
      <c r="B25" s="79" t="s">
        <v>1178</v>
      </c>
      <c r="C25" s="516">
        <f>SUM(C26:C30)</f>
        <v>1361004.2</v>
      </c>
      <c r="D25" s="516">
        <f>D26+D27+D28+D30</f>
        <v>0</v>
      </c>
      <c r="E25" s="516">
        <f>SUM(E26:E30)</f>
        <v>1345044.8</v>
      </c>
      <c r="F25" s="516">
        <f>F26+F27+F28+F30</f>
        <v>0</v>
      </c>
      <c r="G25" s="566">
        <f t="shared" si="0"/>
        <v>-15959.399999999907</v>
      </c>
      <c r="H25" s="567">
        <f t="shared" si="0"/>
        <v>0</v>
      </c>
    </row>
    <row r="26" spans="1:8" x14ac:dyDescent="0.25">
      <c r="A26" s="31">
        <f t="shared" si="1"/>
        <v>21</v>
      </c>
      <c r="B26" s="123" t="s">
        <v>992</v>
      </c>
      <c r="C26" s="568">
        <v>980650.2</v>
      </c>
      <c r="D26" s="568">
        <v>0</v>
      </c>
      <c r="E26" s="568">
        <v>923417.8</v>
      </c>
      <c r="F26" s="568">
        <v>0</v>
      </c>
      <c r="G26" s="566">
        <f t="shared" si="0"/>
        <v>-57232.399999999907</v>
      </c>
      <c r="H26" s="567">
        <f t="shared" si="0"/>
        <v>0</v>
      </c>
    </row>
    <row r="27" spans="1:8" x14ac:dyDescent="0.25">
      <c r="A27" s="31">
        <f t="shared" si="1"/>
        <v>22</v>
      </c>
      <c r="B27" s="123" t="s">
        <v>1179</v>
      </c>
      <c r="C27" s="568">
        <v>0</v>
      </c>
      <c r="D27" s="568">
        <v>0</v>
      </c>
      <c r="E27" s="568">
        <v>0</v>
      </c>
      <c r="F27" s="568">
        <v>0</v>
      </c>
      <c r="G27" s="566">
        <f t="shared" si="0"/>
        <v>0</v>
      </c>
      <c r="H27" s="567">
        <f t="shared" si="0"/>
        <v>0</v>
      </c>
    </row>
    <row r="28" spans="1:8" x14ac:dyDescent="0.25">
      <c r="A28" s="31">
        <f t="shared" si="1"/>
        <v>23</v>
      </c>
      <c r="B28" s="469" t="s">
        <v>1161</v>
      </c>
      <c r="C28" s="568">
        <v>225645</v>
      </c>
      <c r="D28" s="568">
        <v>0</v>
      </c>
      <c r="E28" s="568">
        <v>281390</v>
      </c>
      <c r="F28" s="568">
        <v>0</v>
      </c>
      <c r="G28" s="566">
        <f t="shared" si="0"/>
        <v>55745</v>
      </c>
      <c r="H28" s="567">
        <f t="shared" si="0"/>
        <v>0</v>
      </c>
    </row>
    <row r="29" spans="1:8" x14ac:dyDescent="0.25">
      <c r="A29" s="31">
        <v>24</v>
      </c>
      <c r="B29" s="469" t="s">
        <v>1162</v>
      </c>
      <c r="C29" s="568">
        <v>153549</v>
      </c>
      <c r="D29" s="568"/>
      <c r="E29" s="568">
        <v>136987</v>
      </c>
      <c r="F29" s="568"/>
      <c r="G29" s="566"/>
      <c r="H29" s="567"/>
    </row>
    <row r="30" spans="1:8" x14ac:dyDescent="0.25">
      <c r="A30" s="31">
        <v>25</v>
      </c>
      <c r="B30" s="123" t="s">
        <v>993</v>
      </c>
      <c r="C30" s="568">
        <v>1160</v>
      </c>
      <c r="D30" s="568">
        <v>0</v>
      </c>
      <c r="E30" s="568">
        <v>3250</v>
      </c>
      <c r="F30" s="568">
        <v>0</v>
      </c>
      <c r="G30" s="566">
        <f t="shared" si="0"/>
        <v>2090</v>
      </c>
      <c r="H30" s="567">
        <f t="shared" si="0"/>
        <v>0</v>
      </c>
    </row>
    <row r="31" spans="1:8" x14ac:dyDescent="0.25">
      <c r="A31" s="31">
        <f t="shared" si="1"/>
        <v>26</v>
      </c>
      <c r="B31" s="79" t="s">
        <v>1180</v>
      </c>
      <c r="C31" s="516">
        <f>C32+C33+C34+C35+C36+C37+C38</f>
        <v>514621.13000000006</v>
      </c>
      <c r="D31" s="516">
        <f>SUM(D32:D38)</f>
        <v>250919.07</v>
      </c>
      <c r="E31" s="516">
        <f>SUM(E32:E37)</f>
        <v>333247.12999999995</v>
      </c>
      <c r="F31" s="516">
        <f>SUM(F32:F37)</f>
        <v>0</v>
      </c>
      <c r="G31" s="566">
        <f t="shared" si="0"/>
        <v>-181374.00000000012</v>
      </c>
      <c r="H31" s="567">
        <f t="shared" si="0"/>
        <v>-250919.07</v>
      </c>
    </row>
    <row r="32" spans="1:8" x14ac:dyDescent="0.25">
      <c r="A32" s="31">
        <f t="shared" si="1"/>
        <v>27</v>
      </c>
      <c r="B32" s="123" t="s">
        <v>994</v>
      </c>
      <c r="C32" s="568">
        <v>196734</v>
      </c>
      <c r="D32" s="568">
        <v>0</v>
      </c>
      <c r="E32" s="568">
        <v>189745.96</v>
      </c>
      <c r="F32" s="568">
        <v>0</v>
      </c>
      <c r="G32" s="566">
        <f t="shared" si="0"/>
        <v>-6988.0400000000081</v>
      </c>
      <c r="H32" s="567">
        <f t="shared" si="0"/>
        <v>0</v>
      </c>
    </row>
    <row r="33" spans="1:8" x14ac:dyDescent="0.25">
      <c r="A33" s="31">
        <f t="shared" si="1"/>
        <v>28</v>
      </c>
      <c r="B33" s="123" t="s">
        <v>995</v>
      </c>
      <c r="C33" s="568">
        <v>0</v>
      </c>
      <c r="D33" s="568">
        <v>0</v>
      </c>
      <c r="E33" s="568">
        <v>0</v>
      </c>
      <c r="F33" s="568">
        <v>0</v>
      </c>
      <c r="G33" s="566">
        <f t="shared" si="0"/>
        <v>0</v>
      </c>
      <c r="H33" s="567">
        <f t="shared" si="0"/>
        <v>0</v>
      </c>
    </row>
    <row r="34" spans="1:8" x14ac:dyDescent="0.25">
      <c r="A34" s="31">
        <f t="shared" si="1"/>
        <v>29</v>
      </c>
      <c r="B34" s="123" t="s">
        <v>996</v>
      </c>
      <c r="C34" s="568">
        <v>0</v>
      </c>
      <c r="D34" s="568">
        <v>0</v>
      </c>
      <c r="E34" s="568">
        <v>0</v>
      </c>
      <c r="F34" s="568">
        <v>0</v>
      </c>
      <c r="G34" s="566">
        <f t="shared" si="0"/>
        <v>0</v>
      </c>
      <c r="H34" s="567">
        <f t="shared" si="0"/>
        <v>0</v>
      </c>
    </row>
    <row r="35" spans="1:8" x14ac:dyDescent="0.25">
      <c r="A35" s="31">
        <f t="shared" si="1"/>
        <v>30</v>
      </c>
      <c r="B35" s="123" t="s">
        <v>997</v>
      </c>
      <c r="C35" s="568">
        <v>158097.42000000001</v>
      </c>
      <c r="D35" s="568">
        <v>0</v>
      </c>
      <c r="E35" s="568">
        <v>139097.87</v>
      </c>
      <c r="F35" s="568">
        <v>0</v>
      </c>
      <c r="G35" s="566">
        <f t="shared" si="0"/>
        <v>-18999.550000000017</v>
      </c>
      <c r="H35" s="567">
        <f t="shared" si="0"/>
        <v>0</v>
      </c>
    </row>
    <row r="36" spans="1:8" x14ac:dyDescent="0.25">
      <c r="A36" s="31">
        <f t="shared" si="1"/>
        <v>31</v>
      </c>
      <c r="B36" s="123" t="s">
        <v>990</v>
      </c>
      <c r="C36" s="568">
        <v>1528.02</v>
      </c>
      <c r="D36" s="568">
        <v>0</v>
      </c>
      <c r="E36" s="568">
        <v>1800</v>
      </c>
      <c r="F36" s="568">
        <v>0</v>
      </c>
      <c r="G36" s="566">
        <f t="shared" si="0"/>
        <v>271.98</v>
      </c>
      <c r="H36" s="567">
        <f t="shared" si="0"/>
        <v>0</v>
      </c>
    </row>
    <row r="37" spans="1:8" x14ac:dyDescent="0.25">
      <c r="A37" s="31">
        <f t="shared" si="1"/>
        <v>32</v>
      </c>
      <c r="B37" s="123" t="s">
        <v>991</v>
      </c>
      <c r="C37" s="568">
        <v>2727.7</v>
      </c>
      <c r="D37" s="568">
        <v>0</v>
      </c>
      <c r="E37" s="568">
        <v>2603.3000000000002</v>
      </c>
      <c r="F37" s="568">
        <v>0</v>
      </c>
      <c r="G37" s="566">
        <f t="shared" si="0"/>
        <v>-124.39999999999964</v>
      </c>
      <c r="H37" s="567">
        <f t="shared" si="0"/>
        <v>0</v>
      </c>
    </row>
    <row r="38" spans="1:8" x14ac:dyDescent="0.25">
      <c r="A38" s="31">
        <v>33</v>
      </c>
      <c r="B38" s="570" t="s">
        <v>1006</v>
      </c>
      <c r="C38" s="568">
        <v>155533.99</v>
      </c>
      <c r="D38" s="568">
        <v>250919.07</v>
      </c>
      <c r="E38" s="568">
        <v>149041.47</v>
      </c>
      <c r="F38" s="568">
        <v>215846.5</v>
      </c>
      <c r="G38" s="566">
        <f t="shared" si="0"/>
        <v>-6492.5199999999895</v>
      </c>
      <c r="H38" s="567">
        <f t="shared" si="0"/>
        <v>-35072.570000000007</v>
      </c>
    </row>
    <row r="39" spans="1:8" s="368" customFormat="1" ht="14.25" customHeight="1" x14ac:dyDescent="0.3">
      <c r="A39" s="31">
        <v>34</v>
      </c>
      <c r="B39" s="571" t="s">
        <v>1181</v>
      </c>
      <c r="C39" s="516">
        <f>SUM(C40:C49)</f>
        <v>2753135.05</v>
      </c>
      <c r="D39" s="516">
        <f>SUM(D40:D49)</f>
        <v>1046929.89</v>
      </c>
      <c r="E39" s="516">
        <f>SUM(E40:E54)</f>
        <v>3034634.0700000003</v>
      </c>
      <c r="F39" s="516">
        <f>SUM(F40:F49)</f>
        <v>734293.54</v>
      </c>
      <c r="G39" s="566">
        <f t="shared" ref="G39:H55" si="2">E39-C39</f>
        <v>281499.02000000048</v>
      </c>
      <c r="H39" s="567">
        <f t="shared" si="2"/>
        <v>-312636.34999999998</v>
      </c>
    </row>
    <row r="40" spans="1:8" x14ac:dyDescent="0.25">
      <c r="A40" s="31">
        <v>35</v>
      </c>
      <c r="B40" s="299" t="s">
        <v>958</v>
      </c>
      <c r="C40" s="568">
        <v>18933.62</v>
      </c>
      <c r="D40" s="568">
        <v>0</v>
      </c>
      <c r="E40" s="568">
        <v>16839.560000000001</v>
      </c>
      <c r="F40" s="568">
        <v>0</v>
      </c>
      <c r="G40" s="566">
        <f t="shared" si="2"/>
        <v>-2094.0599999999977</v>
      </c>
      <c r="H40" s="567">
        <f t="shared" si="2"/>
        <v>0</v>
      </c>
    </row>
    <row r="41" spans="1:8" x14ac:dyDescent="0.25">
      <c r="A41" s="31">
        <v>36</v>
      </c>
      <c r="B41" s="299" t="s">
        <v>104</v>
      </c>
      <c r="C41" s="568">
        <v>0</v>
      </c>
      <c r="D41" s="568">
        <v>0</v>
      </c>
      <c r="E41" s="568">
        <v>0</v>
      </c>
      <c r="F41" s="568">
        <v>0</v>
      </c>
      <c r="G41" s="566">
        <f t="shared" si="2"/>
        <v>0</v>
      </c>
      <c r="H41" s="567">
        <f t="shared" si="2"/>
        <v>0</v>
      </c>
    </row>
    <row r="42" spans="1:8" x14ac:dyDescent="0.25">
      <c r="A42" s="31">
        <v>37</v>
      </c>
      <c r="B42" s="299" t="s">
        <v>105</v>
      </c>
      <c r="C42" s="568">
        <v>0</v>
      </c>
      <c r="D42" s="568">
        <v>0</v>
      </c>
      <c r="E42" s="568">
        <v>0</v>
      </c>
      <c r="F42" s="568">
        <v>0</v>
      </c>
      <c r="G42" s="566">
        <f t="shared" si="2"/>
        <v>0</v>
      </c>
      <c r="H42" s="567">
        <f t="shared" si="2"/>
        <v>0</v>
      </c>
    </row>
    <row r="43" spans="1:8" x14ac:dyDescent="0.25">
      <c r="A43" s="31">
        <f t="shared" ref="A43:A70" si="3">A42+1</f>
        <v>38</v>
      </c>
      <c r="B43" s="299" t="s">
        <v>106</v>
      </c>
      <c r="C43" s="568">
        <v>0</v>
      </c>
      <c r="D43" s="568">
        <v>0</v>
      </c>
      <c r="E43" s="568">
        <v>0</v>
      </c>
      <c r="F43" s="568">
        <v>0</v>
      </c>
      <c r="G43" s="566">
        <f t="shared" si="2"/>
        <v>0</v>
      </c>
      <c r="H43" s="567">
        <f t="shared" si="2"/>
        <v>0</v>
      </c>
    </row>
    <row r="44" spans="1:8" x14ac:dyDescent="0.25">
      <c r="A44" s="31">
        <f t="shared" si="3"/>
        <v>39</v>
      </c>
      <c r="B44" s="299" t="s">
        <v>107</v>
      </c>
      <c r="C44" s="568">
        <v>0</v>
      </c>
      <c r="D44" s="568">
        <v>0</v>
      </c>
      <c r="E44" s="568">
        <v>1619.93</v>
      </c>
      <c r="F44" s="568">
        <v>0</v>
      </c>
      <c r="G44" s="566">
        <f t="shared" si="2"/>
        <v>1619.93</v>
      </c>
      <c r="H44" s="567">
        <f t="shared" si="2"/>
        <v>0</v>
      </c>
    </row>
    <row r="45" spans="1:8" x14ac:dyDescent="0.25">
      <c r="A45" s="31">
        <f t="shared" si="3"/>
        <v>40</v>
      </c>
      <c r="B45" s="299" t="s">
        <v>108</v>
      </c>
      <c r="C45" s="568">
        <v>1944937.21</v>
      </c>
      <c r="D45" s="568">
        <v>0</v>
      </c>
      <c r="E45" s="568">
        <v>1677632.96</v>
      </c>
      <c r="F45" s="568">
        <v>27.06</v>
      </c>
      <c r="G45" s="566">
        <f t="shared" si="2"/>
        <v>-267304.25</v>
      </c>
      <c r="H45" s="567">
        <f t="shared" si="2"/>
        <v>27.06</v>
      </c>
    </row>
    <row r="46" spans="1:8" x14ac:dyDescent="0.25">
      <c r="A46" s="31">
        <f t="shared" si="3"/>
        <v>41</v>
      </c>
      <c r="B46" s="572" t="s">
        <v>793</v>
      </c>
      <c r="C46" s="568">
        <v>0</v>
      </c>
      <c r="D46" s="568">
        <v>0</v>
      </c>
      <c r="E46" s="568">
        <v>0</v>
      </c>
      <c r="F46" s="568">
        <v>0</v>
      </c>
      <c r="G46" s="566">
        <f t="shared" si="2"/>
        <v>0</v>
      </c>
      <c r="H46" s="567">
        <f t="shared" si="2"/>
        <v>0</v>
      </c>
    </row>
    <row r="47" spans="1:8" x14ac:dyDescent="0.25">
      <c r="A47" s="31">
        <f t="shared" si="3"/>
        <v>42</v>
      </c>
      <c r="B47" s="299" t="s">
        <v>109</v>
      </c>
      <c r="C47" s="568">
        <v>6181.78</v>
      </c>
      <c r="D47" s="568">
        <v>0</v>
      </c>
      <c r="E47" s="568">
        <v>5725.16</v>
      </c>
      <c r="F47" s="568">
        <v>16.59</v>
      </c>
      <c r="G47" s="566">
        <f t="shared" si="2"/>
        <v>-456.61999999999989</v>
      </c>
      <c r="H47" s="567">
        <f t="shared" si="2"/>
        <v>16.59</v>
      </c>
    </row>
    <row r="48" spans="1:8" x14ac:dyDescent="0.25">
      <c r="A48" s="31">
        <f t="shared" si="3"/>
        <v>43</v>
      </c>
      <c r="B48" s="299" t="s">
        <v>924</v>
      </c>
      <c r="C48" s="568">
        <v>0</v>
      </c>
      <c r="D48" s="568">
        <v>0</v>
      </c>
      <c r="E48" s="568">
        <v>23642.86</v>
      </c>
      <c r="F48" s="568">
        <v>0</v>
      </c>
      <c r="G48" s="566">
        <f t="shared" si="2"/>
        <v>23642.86</v>
      </c>
      <c r="H48" s="567">
        <f t="shared" si="2"/>
        <v>0</v>
      </c>
    </row>
    <row r="49" spans="1:8" x14ac:dyDescent="0.25">
      <c r="A49" s="31">
        <f t="shared" si="3"/>
        <v>44</v>
      </c>
      <c r="B49" s="45" t="s">
        <v>1009</v>
      </c>
      <c r="C49" s="568">
        <v>783082.44</v>
      </c>
      <c r="D49" s="568">
        <v>1046929.89</v>
      </c>
      <c r="E49" s="568">
        <v>1309173.6000000001</v>
      </c>
      <c r="F49" s="568">
        <v>734249.89</v>
      </c>
      <c r="G49" s="566">
        <f t="shared" si="2"/>
        <v>526091.16000000015</v>
      </c>
      <c r="H49" s="567">
        <f t="shared" si="2"/>
        <v>-312680</v>
      </c>
    </row>
    <row r="50" spans="1:8" x14ac:dyDescent="0.25">
      <c r="A50" s="31">
        <f t="shared" si="3"/>
        <v>45</v>
      </c>
      <c r="B50" s="316" t="s">
        <v>348</v>
      </c>
      <c r="C50" s="568">
        <v>0</v>
      </c>
      <c r="D50" s="568">
        <v>1011019.82</v>
      </c>
      <c r="E50" s="568">
        <v>0</v>
      </c>
      <c r="F50" s="568">
        <v>78320</v>
      </c>
      <c r="G50" s="566">
        <f t="shared" si="2"/>
        <v>0</v>
      </c>
      <c r="H50" s="567">
        <f t="shared" si="2"/>
        <v>-932699.82</v>
      </c>
    </row>
    <row r="51" spans="1:8" x14ac:dyDescent="0.25">
      <c r="A51" s="31">
        <f t="shared" si="3"/>
        <v>46</v>
      </c>
      <c r="B51" s="316" t="s">
        <v>140</v>
      </c>
      <c r="C51" s="568">
        <v>0</v>
      </c>
      <c r="D51" s="568">
        <v>0</v>
      </c>
      <c r="E51" s="568">
        <v>0</v>
      </c>
      <c r="F51" s="568">
        <v>0</v>
      </c>
      <c r="G51" s="566">
        <f t="shared" si="2"/>
        <v>0</v>
      </c>
      <c r="H51" s="567">
        <f t="shared" si="2"/>
        <v>0</v>
      </c>
    </row>
    <row r="52" spans="1:8" x14ac:dyDescent="0.25">
      <c r="A52" s="31">
        <f t="shared" si="3"/>
        <v>47</v>
      </c>
      <c r="B52" s="316" t="s">
        <v>137</v>
      </c>
      <c r="C52" s="568">
        <v>0</v>
      </c>
      <c r="D52" s="568">
        <v>0</v>
      </c>
      <c r="E52" s="568">
        <v>0</v>
      </c>
      <c r="F52" s="568">
        <v>0</v>
      </c>
      <c r="G52" s="566">
        <f t="shared" si="2"/>
        <v>0</v>
      </c>
      <c r="H52" s="567">
        <f t="shared" si="2"/>
        <v>0</v>
      </c>
    </row>
    <row r="53" spans="1:8" x14ac:dyDescent="0.25">
      <c r="A53" s="31">
        <f t="shared" si="3"/>
        <v>48</v>
      </c>
      <c r="B53" s="316" t="s">
        <v>326</v>
      </c>
      <c r="C53" s="568">
        <v>0</v>
      </c>
      <c r="D53" s="568">
        <v>0</v>
      </c>
      <c r="E53" s="568">
        <v>0</v>
      </c>
      <c r="F53" s="568">
        <v>110.4</v>
      </c>
      <c r="G53" s="566">
        <f t="shared" si="2"/>
        <v>0</v>
      </c>
      <c r="H53" s="567">
        <f t="shared" si="2"/>
        <v>110.4</v>
      </c>
    </row>
    <row r="54" spans="1:8" x14ac:dyDescent="0.25">
      <c r="A54" s="31">
        <f t="shared" si="3"/>
        <v>49</v>
      </c>
      <c r="B54" s="316" t="s">
        <v>261</v>
      </c>
      <c r="C54" s="568">
        <v>0</v>
      </c>
      <c r="D54" s="568">
        <v>0</v>
      </c>
      <c r="E54" s="568">
        <v>0</v>
      </c>
      <c r="F54" s="568">
        <v>0</v>
      </c>
      <c r="G54" s="566">
        <f t="shared" si="2"/>
        <v>0</v>
      </c>
      <c r="H54" s="567">
        <f t="shared" si="2"/>
        <v>0</v>
      </c>
    </row>
    <row r="55" spans="1:8" ht="18.75" x14ac:dyDescent="0.25">
      <c r="A55" s="31">
        <f t="shared" si="3"/>
        <v>50</v>
      </c>
      <c r="B55" s="316" t="s">
        <v>1182</v>
      </c>
      <c r="C55" s="574">
        <f>SUM(C56:C60)</f>
        <v>515232.94999999995</v>
      </c>
      <c r="D55" s="574">
        <f>SUM(D56:D60)</f>
        <v>0</v>
      </c>
      <c r="E55" s="574">
        <f>SUM(E56:E60)</f>
        <v>686948.1</v>
      </c>
      <c r="F55" s="574">
        <f>SUM(F56:F60)</f>
        <v>0</v>
      </c>
      <c r="G55" s="566">
        <f t="shared" si="2"/>
        <v>171715.15000000002</v>
      </c>
      <c r="H55" s="567">
        <f t="shared" si="2"/>
        <v>0</v>
      </c>
    </row>
    <row r="56" spans="1:8" x14ac:dyDescent="0.25">
      <c r="A56" s="31">
        <f t="shared" si="3"/>
        <v>51</v>
      </c>
      <c r="B56" s="299" t="s">
        <v>239</v>
      </c>
      <c r="C56" s="568">
        <v>248059.8</v>
      </c>
      <c r="D56" s="562" t="s">
        <v>317</v>
      </c>
      <c r="E56" s="568">
        <v>225420.33</v>
      </c>
      <c r="F56" s="562" t="s">
        <v>317</v>
      </c>
      <c r="G56" s="566">
        <f t="shared" ref="G56:H70" si="4">E56-C56</f>
        <v>-22639.47</v>
      </c>
      <c r="H56" s="567" t="s">
        <v>317</v>
      </c>
    </row>
    <row r="57" spans="1:8" x14ac:dyDescent="0.25">
      <c r="A57" s="31">
        <f t="shared" si="3"/>
        <v>52</v>
      </c>
      <c r="B57" s="299" t="s">
        <v>110</v>
      </c>
      <c r="C57" s="568">
        <v>41827.68</v>
      </c>
      <c r="D57" s="562" t="s">
        <v>317</v>
      </c>
      <c r="E57" s="568">
        <v>118878</v>
      </c>
      <c r="F57" s="562" t="s">
        <v>317</v>
      </c>
      <c r="G57" s="566">
        <f t="shared" si="4"/>
        <v>77050.320000000007</v>
      </c>
      <c r="H57" s="567" t="s">
        <v>317</v>
      </c>
    </row>
    <row r="58" spans="1:8" ht="31.5" x14ac:dyDescent="0.25">
      <c r="A58" s="31">
        <f t="shared" si="3"/>
        <v>53</v>
      </c>
      <c r="B58" s="299" t="s">
        <v>857</v>
      </c>
      <c r="C58" s="568">
        <v>4822.6899999999996</v>
      </c>
      <c r="D58" s="562" t="s">
        <v>317</v>
      </c>
      <c r="E58" s="568">
        <v>1118</v>
      </c>
      <c r="F58" s="562" t="s">
        <v>317</v>
      </c>
      <c r="G58" s="566">
        <f t="shared" si="4"/>
        <v>-3704.6899999999996</v>
      </c>
      <c r="H58" s="567" t="s">
        <v>317</v>
      </c>
    </row>
    <row r="59" spans="1:8" ht="18.75" x14ac:dyDescent="0.25">
      <c r="A59" s="31">
        <f t="shared" si="3"/>
        <v>54</v>
      </c>
      <c r="B59" s="299" t="s">
        <v>1183</v>
      </c>
      <c r="C59" s="568">
        <v>0</v>
      </c>
      <c r="D59" s="562" t="s">
        <v>317</v>
      </c>
      <c r="E59" s="568">
        <v>0</v>
      </c>
      <c r="F59" s="562" t="s">
        <v>317</v>
      </c>
      <c r="G59" s="566">
        <f t="shared" si="4"/>
        <v>0</v>
      </c>
      <c r="H59" s="567" t="s">
        <v>317</v>
      </c>
    </row>
    <row r="60" spans="1:8" x14ac:dyDescent="0.25">
      <c r="A60" s="31">
        <f t="shared" si="3"/>
        <v>55</v>
      </c>
      <c r="B60" s="299" t="s">
        <v>851</v>
      </c>
      <c r="C60" s="568">
        <v>220522.78</v>
      </c>
      <c r="D60" s="562" t="s">
        <v>317</v>
      </c>
      <c r="E60" s="568">
        <v>341531.77</v>
      </c>
      <c r="F60" s="562" t="s">
        <v>317</v>
      </c>
      <c r="G60" s="566">
        <f t="shared" si="4"/>
        <v>121008.99000000002</v>
      </c>
      <c r="H60" s="567" t="s">
        <v>317</v>
      </c>
    </row>
    <row r="61" spans="1:8" x14ac:dyDescent="0.25">
      <c r="A61" s="31">
        <f t="shared" si="3"/>
        <v>56</v>
      </c>
      <c r="B61" s="316" t="s">
        <v>349</v>
      </c>
      <c r="C61" s="568">
        <v>0</v>
      </c>
      <c r="D61" s="568"/>
      <c r="E61" s="568">
        <v>0</v>
      </c>
      <c r="F61" s="568"/>
      <c r="G61" s="566">
        <f t="shared" si="4"/>
        <v>0</v>
      </c>
      <c r="H61" s="567">
        <f t="shared" si="4"/>
        <v>0</v>
      </c>
    </row>
    <row r="62" spans="1:8" x14ac:dyDescent="0.25">
      <c r="A62" s="31">
        <f t="shared" si="3"/>
        <v>57</v>
      </c>
      <c r="B62" s="316" t="s">
        <v>138</v>
      </c>
      <c r="C62" s="568">
        <v>928.28</v>
      </c>
      <c r="D62" s="568">
        <v>1458310.67</v>
      </c>
      <c r="E62" s="568">
        <v>1480</v>
      </c>
      <c r="F62" s="568">
        <v>1500767.71</v>
      </c>
      <c r="G62" s="566">
        <f t="shared" si="4"/>
        <v>551.72</v>
      </c>
      <c r="H62" s="567">
        <f t="shared" si="4"/>
        <v>42457.040000000037</v>
      </c>
    </row>
    <row r="63" spans="1:8" x14ac:dyDescent="0.25">
      <c r="A63" s="31">
        <f t="shared" si="3"/>
        <v>58</v>
      </c>
      <c r="B63" s="575" t="s">
        <v>141</v>
      </c>
      <c r="C63" s="568">
        <v>135630.5</v>
      </c>
      <c r="D63" s="568">
        <v>0</v>
      </c>
      <c r="E63" s="568">
        <v>102002.51</v>
      </c>
      <c r="F63" s="568">
        <v>0</v>
      </c>
      <c r="G63" s="566">
        <f t="shared" si="4"/>
        <v>-33627.990000000005</v>
      </c>
      <c r="H63" s="567">
        <f t="shared" si="4"/>
        <v>0</v>
      </c>
    </row>
    <row r="64" spans="1:8" x14ac:dyDescent="0.25">
      <c r="A64" s="31">
        <f t="shared" si="3"/>
        <v>59</v>
      </c>
      <c r="B64" s="575" t="s">
        <v>978</v>
      </c>
      <c r="C64" s="568">
        <v>0</v>
      </c>
      <c r="D64" s="568">
        <v>0</v>
      </c>
      <c r="E64" s="568">
        <v>0</v>
      </c>
      <c r="F64" s="568">
        <v>0</v>
      </c>
      <c r="G64" s="566">
        <f t="shared" si="4"/>
        <v>0</v>
      </c>
      <c r="H64" s="567">
        <f t="shared" si="4"/>
        <v>0</v>
      </c>
    </row>
    <row r="65" spans="1:8" x14ac:dyDescent="0.25">
      <c r="A65" s="31">
        <f t="shared" si="3"/>
        <v>60</v>
      </c>
      <c r="B65" s="576" t="s">
        <v>909</v>
      </c>
      <c r="C65" s="568">
        <v>32677.43</v>
      </c>
      <c r="D65" s="568">
        <v>0</v>
      </c>
      <c r="E65" s="568">
        <v>14193.3</v>
      </c>
      <c r="F65" s="568">
        <v>0</v>
      </c>
      <c r="G65" s="566">
        <f t="shared" si="4"/>
        <v>-18484.13</v>
      </c>
      <c r="H65" s="567">
        <f t="shared" si="4"/>
        <v>0</v>
      </c>
    </row>
    <row r="66" spans="1:8" x14ac:dyDescent="0.25">
      <c r="A66" s="31">
        <f t="shared" si="3"/>
        <v>61</v>
      </c>
      <c r="B66" s="576" t="s">
        <v>925</v>
      </c>
      <c r="C66" s="568">
        <v>0</v>
      </c>
      <c r="D66" s="568">
        <v>0</v>
      </c>
      <c r="E66" s="568">
        <v>0</v>
      </c>
      <c r="F66" s="568">
        <v>0</v>
      </c>
      <c r="G66" s="566">
        <f t="shared" si="4"/>
        <v>0</v>
      </c>
      <c r="H66" s="567">
        <f t="shared" si="4"/>
        <v>0</v>
      </c>
    </row>
    <row r="67" spans="1:8" x14ac:dyDescent="0.25">
      <c r="A67" s="31">
        <f t="shared" si="3"/>
        <v>62</v>
      </c>
      <c r="B67" s="316" t="s">
        <v>142</v>
      </c>
      <c r="C67" s="568">
        <v>81108459.260000005</v>
      </c>
      <c r="D67" s="568">
        <v>0</v>
      </c>
      <c r="E67" s="568">
        <v>82074601.920000002</v>
      </c>
      <c r="F67" s="568">
        <v>0</v>
      </c>
      <c r="G67" s="566">
        <f t="shared" si="4"/>
        <v>966142.65999999642</v>
      </c>
      <c r="H67" s="567">
        <f t="shared" si="4"/>
        <v>0</v>
      </c>
    </row>
    <row r="68" spans="1:8" x14ac:dyDescent="0.25">
      <c r="A68" s="31">
        <f t="shared" si="3"/>
        <v>63</v>
      </c>
      <c r="B68" s="577" t="s">
        <v>303</v>
      </c>
      <c r="C68" s="578"/>
      <c r="D68" s="578"/>
      <c r="E68" s="578"/>
      <c r="F68" s="578"/>
      <c r="G68" s="566">
        <f t="shared" si="4"/>
        <v>0</v>
      </c>
      <c r="H68" s="567">
        <f t="shared" si="4"/>
        <v>0</v>
      </c>
    </row>
    <row r="69" spans="1:8" x14ac:dyDescent="0.25">
      <c r="A69" s="31">
        <f t="shared" si="3"/>
        <v>64</v>
      </c>
      <c r="B69" s="577" t="s">
        <v>160</v>
      </c>
      <c r="C69" s="579">
        <v>903247.23</v>
      </c>
      <c r="D69" s="579">
        <v>0</v>
      </c>
      <c r="E69" s="579">
        <v>12390048.02</v>
      </c>
      <c r="F69" s="579">
        <v>0</v>
      </c>
      <c r="G69" s="566">
        <f t="shared" si="4"/>
        <v>11486800.789999999</v>
      </c>
      <c r="H69" s="567">
        <f t="shared" si="4"/>
        <v>0</v>
      </c>
    </row>
    <row r="70" spans="1:8" s="129" customFormat="1" ht="16.5" thickBot="1" x14ac:dyDescent="0.3">
      <c r="A70" s="31">
        <f t="shared" si="3"/>
        <v>65</v>
      </c>
      <c r="B70" s="447" t="s">
        <v>1184</v>
      </c>
      <c r="C70" s="385">
        <f>C6+C11+C16+C17+C18+C19+C20+C21+C24+C25+C31+C39+C50+C51+C52+C53+C54+C55+C61+C62+C63+C64+C65+C66+C67</f>
        <v>91261344.100000009</v>
      </c>
      <c r="D70" s="385">
        <f>D6+D11+D16+D17+D18+D19+D20+D21+D24+D25+D31+D39+D50+D51+D52+D53+D54+D55+D61+D62+D63+D64+D65+D66+D67</f>
        <v>9041346.5699999984</v>
      </c>
      <c r="E70" s="385">
        <f>E6+E11+E16+E17+E18+E19+E20+E21+E24+E25+E31+E38+E39+E50+E51+E52+E53+E54+E55+E61+E62+E63+E64+E65+E66+E67</f>
        <v>92447454.710000008</v>
      </c>
      <c r="F70" s="385">
        <f>F6+F11+F16+F17+F18+F19+F20+F21+F24+F25+F31+F38+F39+F50+F51+F52+F53+F54+F55+F61+F62+F63+F64+F65+F66+F67</f>
        <v>9056726.3000000007</v>
      </c>
      <c r="G70" s="580">
        <f t="shared" si="4"/>
        <v>1186110.6099999994</v>
      </c>
      <c r="H70" s="581">
        <f t="shared" si="4"/>
        <v>15379.73000000231</v>
      </c>
    </row>
    <row r="71" spans="1:8" ht="21" customHeight="1" x14ac:dyDescent="0.25">
      <c r="B71" s="3"/>
      <c r="C71" s="582"/>
      <c r="D71" s="583">
        <f>C70+D70</f>
        <v>100302690.67</v>
      </c>
      <c r="E71" s="362"/>
      <c r="F71" s="583">
        <f>E70+F70</f>
        <v>101504181.01000001</v>
      </c>
      <c r="G71" s="582"/>
      <c r="H71" s="582"/>
    </row>
    <row r="72" spans="1:8" ht="15.75" customHeight="1" x14ac:dyDescent="0.25">
      <c r="A72" s="734" t="s">
        <v>1136</v>
      </c>
      <c r="B72" s="735"/>
      <c r="C72" s="735"/>
      <c r="D72" s="735"/>
      <c r="E72" s="735"/>
      <c r="F72" s="735"/>
      <c r="G72" s="735"/>
      <c r="H72" s="736"/>
    </row>
    <row r="73" spans="1:8" ht="30.75" customHeight="1" x14ac:dyDescent="0.25">
      <c r="A73" s="737" t="s">
        <v>240</v>
      </c>
      <c r="B73" s="738"/>
      <c r="C73" s="738"/>
      <c r="D73" s="738"/>
      <c r="E73" s="738"/>
      <c r="F73" s="738"/>
      <c r="G73" s="738"/>
      <c r="H73" s="739"/>
    </row>
  </sheetData>
  <mergeCells count="9">
    <mergeCell ref="A72:H72"/>
    <mergeCell ref="A73:H73"/>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1" fitToWidth="2" fitToHeight="2" orientation="landscape" r:id="rId1"/>
  <headerFooter alignWithMargins="0">
    <oddFooter>&amp;C&amp;P z &amp;N</oddFooter>
  </headerFooter>
  <rowBreaks count="1" manualBreakCount="1">
    <brk id="45" max="7"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opLeftCell="A4" zoomScaleNormal="100" workbookViewId="0">
      <selection activeCell="H32" sqref="H32"/>
    </sheetView>
  </sheetViews>
  <sheetFormatPr defaultColWidth="9.140625" defaultRowHeight="15.75" x14ac:dyDescent="0.25"/>
  <cols>
    <col min="1" max="1" width="7.85546875" style="3" customWidth="1"/>
    <col min="2" max="2" width="98.28515625" style="6" customWidth="1"/>
    <col min="3" max="3" width="16.85546875" style="1" customWidth="1"/>
    <col min="4" max="4" width="17.28515625" style="1" customWidth="1"/>
    <col min="5" max="5" width="15" style="1" customWidth="1"/>
    <col min="6" max="6" width="15.5703125" style="1" customWidth="1"/>
    <col min="7" max="16384" width="9.140625" style="1"/>
  </cols>
  <sheetData>
    <row r="1" spans="1:4" ht="45.75" customHeight="1" thickBot="1" x14ac:dyDescent="0.3">
      <c r="A1" s="728" t="s">
        <v>1102</v>
      </c>
      <c r="B1" s="729"/>
      <c r="C1" s="729"/>
      <c r="D1" s="730"/>
    </row>
    <row r="2" spans="1:4" ht="37.5" customHeight="1" x14ac:dyDescent="0.25">
      <c r="A2" s="725" t="s">
        <v>1185</v>
      </c>
      <c r="B2" s="726"/>
      <c r="C2" s="726"/>
      <c r="D2" s="727"/>
    </row>
    <row r="3" spans="1:4" s="10" customFormat="1" ht="31.5" x14ac:dyDescent="0.25">
      <c r="A3" s="551" t="s">
        <v>205</v>
      </c>
      <c r="B3" s="554" t="s">
        <v>332</v>
      </c>
      <c r="C3" s="553">
        <v>2017</v>
      </c>
      <c r="D3" s="314">
        <v>2018</v>
      </c>
    </row>
    <row r="4" spans="1:4" s="10" customFormat="1" x14ac:dyDescent="0.25">
      <c r="A4" s="551"/>
      <c r="B4" s="554"/>
      <c r="C4" s="553" t="s">
        <v>286</v>
      </c>
      <c r="D4" s="314" t="s">
        <v>287</v>
      </c>
    </row>
    <row r="5" spans="1:4" x14ac:dyDescent="0.25">
      <c r="A5" s="31">
        <v>1</v>
      </c>
      <c r="B5" s="316" t="s">
        <v>1005</v>
      </c>
      <c r="C5" s="497">
        <f>+SUM(C6:C9)</f>
        <v>1361004.2</v>
      </c>
      <c r="D5" s="636">
        <f>+SUM(D6:D9)</f>
        <v>1345044.8</v>
      </c>
    </row>
    <row r="6" spans="1:4" x14ac:dyDescent="0.25">
      <c r="A6" s="31">
        <v>2</v>
      </c>
      <c r="B6" s="45" t="s">
        <v>982</v>
      </c>
      <c r="C6" s="637">
        <v>1160</v>
      </c>
      <c r="D6" s="637">
        <v>3250</v>
      </c>
    </row>
    <row r="7" spans="1:4" x14ac:dyDescent="0.25">
      <c r="A7" s="31">
        <v>3</v>
      </c>
      <c r="B7" s="45" t="s">
        <v>983</v>
      </c>
      <c r="C7" s="637">
        <v>980650.2</v>
      </c>
      <c r="D7" s="637">
        <v>923417.8</v>
      </c>
    </row>
    <row r="8" spans="1:4" x14ac:dyDescent="0.25">
      <c r="A8" s="31">
        <v>4</v>
      </c>
      <c r="B8" s="468" t="s">
        <v>1160</v>
      </c>
      <c r="C8" s="637">
        <v>225645</v>
      </c>
      <c r="D8" s="637">
        <v>281390</v>
      </c>
    </row>
    <row r="9" spans="1:4" x14ac:dyDescent="0.25">
      <c r="A9" s="31">
        <v>5</v>
      </c>
      <c r="B9" s="468" t="s">
        <v>1159</v>
      </c>
      <c r="C9" s="637">
        <v>153549</v>
      </c>
      <c r="D9" s="637">
        <v>136987</v>
      </c>
    </row>
    <row r="10" spans="1:4" ht="18.75" x14ac:dyDescent="0.25">
      <c r="A10" s="220">
        <v>6</v>
      </c>
      <c r="B10" s="45" t="s">
        <v>1135</v>
      </c>
      <c r="C10" s="638">
        <v>0</v>
      </c>
      <c r="D10" s="638">
        <v>0</v>
      </c>
    </row>
    <row r="11" spans="1:4" x14ac:dyDescent="0.25">
      <c r="A11" s="31">
        <v>7</v>
      </c>
      <c r="B11" s="64" t="s">
        <v>1186</v>
      </c>
      <c r="C11" s="639">
        <f>SUM(C12:C17)</f>
        <v>359087.14000000007</v>
      </c>
      <c r="D11" s="639">
        <f>SUM(D12:D17)</f>
        <v>333247.12999999995</v>
      </c>
    </row>
    <row r="12" spans="1:4" x14ac:dyDescent="0.25">
      <c r="A12" s="31">
        <v>8</v>
      </c>
      <c r="B12" s="45" t="s">
        <v>984</v>
      </c>
      <c r="C12" s="637">
        <v>196734</v>
      </c>
      <c r="D12" s="637">
        <v>189745.96</v>
      </c>
    </row>
    <row r="13" spans="1:4" x14ac:dyDescent="0.25">
      <c r="A13" s="31">
        <v>9</v>
      </c>
      <c r="B13" s="45" t="s">
        <v>985</v>
      </c>
      <c r="C13" s="637">
        <v>0</v>
      </c>
      <c r="D13" s="637">
        <v>0</v>
      </c>
    </row>
    <row r="14" spans="1:4" x14ac:dyDescent="0.25">
      <c r="A14" s="31">
        <v>10</v>
      </c>
      <c r="B14" s="45" t="s">
        <v>986</v>
      </c>
      <c r="C14" s="637">
        <v>0</v>
      </c>
      <c r="D14" s="637">
        <v>0</v>
      </c>
    </row>
    <row r="15" spans="1:4" x14ac:dyDescent="0.25">
      <c r="A15" s="31">
        <v>11</v>
      </c>
      <c r="B15" s="45" t="s">
        <v>987</v>
      </c>
      <c r="C15" s="637">
        <v>158097.42000000001</v>
      </c>
      <c r="D15" s="637">
        <v>139097.87</v>
      </c>
    </row>
    <row r="16" spans="1:4" ht="31.5" x14ac:dyDescent="0.25">
      <c r="A16" s="31">
        <v>12</v>
      </c>
      <c r="B16" s="45" t="s">
        <v>988</v>
      </c>
      <c r="C16" s="637">
        <v>1528.02</v>
      </c>
      <c r="D16" s="637">
        <v>1800</v>
      </c>
    </row>
    <row r="17" spans="1:4" x14ac:dyDescent="0.25">
      <c r="A17" s="31">
        <v>13</v>
      </c>
      <c r="B17" s="45" t="s">
        <v>989</v>
      </c>
      <c r="C17" s="637">
        <v>2727.7</v>
      </c>
      <c r="D17" s="637">
        <v>2603.3000000000002</v>
      </c>
    </row>
    <row r="18" spans="1:4" x14ac:dyDescent="0.25">
      <c r="A18" s="31">
        <v>14</v>
      </c>
      <c r="B18" s="64" t="s">
        <v>246</v>
      </c>
      <c r="C18" s="639">
        <f>(C6+C7)*0.2</f>
        <v>196362.04</v>
      </c>
      <c r="D18" s="639">
        <f>(D6+D7)*0.2</f>
        <v>185333.56000000003</v>
      </c>
    </row>
    <row r="19" spans="1:4" ht="16.5" thickBot="1" x14ac:dyDescent="0.3">
      <c r="A19" s="32">
        <v>15</v>
      </c>
      <c r="B19" s="65" t="s">
        <v>338</v>
      </c>
      <c r="C19" s="640">
        <v>200065.4</v>
      </c>
      <c r="D19" s="640">
        <f>'[2]T13-Fondy'!H14</f>
        <v>193447.24</v>
      </c>
    </row>
    <row r="20" spans="1:4" x14ac:dyDescent="0.25">
      <c r="B20" s="9"/>
    </row>
    <row r="21" spans="1:4" ht="18.75" x14ac:dyDescent="0.25">
      <c r="A21" s="268"/>
      <c r="B21" s="326" t="s">
        <v>868</v>
      </c>
    </row>
    <row r="22" spans="1:4" x14ac:dyDescent="0.25">
      <c r="B22" s="318"/>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802F3-CAF1-414B-986B-3ACC0176C017}">
  <ds:schemaRefs>
    <ds:schemaRef ds:uri="http://purl.org/dc/terms/"/>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Admin</cp:lastModifiedBy>
  <cp:lastPrinted>2019-04-26T07:23:47Z</cp:lastPrinted>
  <dcterms:created xsi:type="dcterms:W3CDTF">2002-06-05T18:53:25Z</dcterms:created>
  <dcterms:modified xsi:type="dcterms:W3CDTF">2019-05-22T08:51:14Z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