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665" tabRatio="895" firstSheet="16" activeTab="19"/>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161"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62" r:id="rId26"/>
    <sheet name="T23_Náklady_soc_oblasť" sheetId="134" r:id="rId27"/>
    <sheet name="T24__Aktíva" sheetId="135" state="hidden" r:id="rId28"/>
  </sheets>
  <externalReferences>
    <externalReference r:id="rId29"/>
    <externalReference r:id="rId30"/>
  </externalReferences>
  <definedNames>
    <definedName name="_kmp1" localSheetId="20">#REF!</definedName>
    <definedName name="_kmp1" localSheetId="25">#REF!</definedName>
    <definedName name="_kmp1" localSheetId="6">#REF!</definedName>
    <definedName name="_kmp1" localSheetId="9">#REF!</definedName>
    <definedName name="_kmp1" localSheetId="12">#REF!</definedName>
    <definedName name="_kmp1">#REF!</definedName>
    <definedName name="_kmp2" localSheetId="20">#REF!</definedName>
    <definedName name="_kmp2" localSheetId="25">#REF!</definedName>
    <definedName name="_kmp2" localSheetId="6">#REF!</definedName>
    <definedName name="_kmp2" localSheetId="12">#REF!</definedName>
    <definedName name="_kmp2">#REF!</definedName>
    <definedName name="_kmt1" localSheetId="20">#REF!</definedName>
    <definedName name="_kmt1" localSheetId="25">#REF!</definedName>
    <definedName name="_kmt1" localSheetId="6">#REF!</definedName>
    <definedName name="_kmt1" localSheetId="9">#REF!</definedName>
    <definedName name="_kmt1" localSheetId="12">#REF!</definedName>
    <definedName name="_kmt1">#REF!</definedName>
    <definedName name="_T1" localSheetId="20">#REF!</definedName>
    <definedName name="_T1" localSheetId="25">#REF!</definedName>
    <definedName name="_T1" localSheetId="6">#REF!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25">#REF!</definedName>
    <definedName name="denní" localSheetId="6">#REF!</definedName>
    <definedName name="denní" localSheetId="9">#REF!</definedName>
    <definedName name="denní" localSheetId="12">#REF!</definedName>
    <definedName name="denní">#REF!</definedName>
    <definedName name="dokpo" localSheetId="20">#REF!</definedName>
    <definedName name="dokpo" localSheetId="25">#REF!</definedName>
    <definedName name="dokpo" localSheetId="6">#REF!</definedName>
    <definedName name="dokpo" localSheetId="9">#REF!</definedName>
    <definedName name="dokpo" localSheetId="12">#REF!</definedName>
    <definedName name="dokpo">#REF!</definedName>
    <definedName name="dokpred" localSheetId="20">#REF!</definedName>
    <definedName name="dokpred" localSheetId="25">#REF!</definedName>
    <definedName name="dokpred" localSheetId="6">#REF!</definedName>
    <definedName name="dokpred" localSheetId="9">#REF!</definedName>
    <definedName name="dokpred" localSheetId="12">#REF!</definedName>
    <definedName name="dokpred">#REF!</definedName>
    <definedName name="druhý" localSheetId="20">#REF!</definedName>
    <definedName name="druhý" localSheetId="25">#REF!</definedName>
    <definedName name="druhý" localSheetId="6">#REF!</definedName>
    <definedName name="druhý" localSheetId="9">#REF!</definedName>
    <definedName name="druhý" localSheetId="12">#REF!</definedName>
    <definedName name="druhý">#REF!</definedName>
    <definedName name="exterdruhý" localSheetId="20">#REF!</definedName>
    <definedName name="exterdruhý" localSheetId="25">#REF!</definedName>
    <definedName name="exterdruhý" localSheetId="6">#REF!</definedName>
    <definedName name="exterdruhý" localSheetId="9">#REF!</definedName>
    <definedName name="exterdruhý" localSheetId="12">#REF!</definedName>
    <definedName name="exterdruhý">#REF!</definedName>
    <definedName name="externeplat" localSheetId="20">#REF!</definedName>
    <definedName name="externeplat" localSheetId="25">#REF!</definedName>
    <definedName name="externeplat" localSheetId="6">#REF!</definedName>
    <definedName name="externeplat" localSheetId="9">#REF!</definedName>
    <definedName name="externeplat" localSheetId="12">#REF!</definedName>
    <definedName name="externeplat">#REF!</definedName>
    <definedName name="exterplat" localSheetId="20">#REF!</definedName>
    <definedName name="exterplat" localSheetId="25">#REF!</definedName>
    <definedName name="exterplat" localSheetId="6">#REF!</definedName>
    <definedName name="exterplat" localSheetId="9">#REF!</definedName>
    <definedName name="exterplat" localSheetId="12">#REF!</definedName>
    <definedName name="exterplat">#REF!</definedName>
    <definedName name="KKS_doc" localSheetId="20">#REF!</definedName>
    <definedName name="KKS_doc" localSheetId="25">#REF!</definedName>
    <definedName name="KKS_doc" localSheetId="6">#REF!</definedName>
    <definedName name="KKS_doc" localSheetId="9">#REF!</definedName>
    <definedName name="KKS_doc" localSheetId="12">#REF!</definedName>
    <definedName name="KKS_doc">#REF!</definedName>
    <definedName name="KKS_ost" localSheetId="20">#REF!</definedName>
    <definedName name="KKS_ost" localSheetId="25">#REF!</definedName>
    <definedName name="KKS_ost" localSheetId="6">#REF!</definedName>
    <definedName name="KKS_ost" localSheetId="9">#REF!</definedName>
    <definedName name="KKS_ost" localSheetId="12">#REF!</definedName>
    <definedName name="KKS_ost">#REF!</definedName>
    <definedName name="KKS_phd" localSheetId="20">#REF!</definedName>
    <definedName name="KKS_phd" localSheetId="25">#REF!</definedName>
    <definedName name="KKS_phd" localSheetId="6">#REF!</definedName>
    <definedName name="KKS_phd" localSheetId="9">#REF!</definedName>
    <definedName name="KKS_phd" localSheetId="12">#REF!</definedName>
    <definedName name="KKS_phd">#REF!</definedName>
    <definedName name="KKS_prof" localSheetId="20">#REF!</definedName>
    <definedName name="KKS_prof" localSheetId="25">#REF!</definedName>
    <definedName name="KKS_prof" localSheetId="6">#REF!</definedName>
    <definedName name="KKS_prof" localSheetId="9">#REF!</definedName>
    <definedName name="KKS_prof" localSheetId="12">#REF!</definedName>
    <definedName name="KKS_prof">#REF!</definedName>
    <definedName name="koef_gm_mzdy" localSheetId="20">#REF!</definedName>
    <definedName name="koef_gm_mzdy" localSheetId="25">#REF!</definedName>
    <definedName name="koef_gm_mzdy" localSheetId="6">#REF!</definedName>
    <definedName name="koef_gm_mzdy" localSheetId="9">#REF!</definedName>
    <definedName name="koef_gm_mzdy" localSheetId="12">#REF!</definedName>
    <definedName name="koef_gm_mzdy">#REF!</definedName>
    <definedName name="koef_kpn" localSheetId="20">#REF!</definedName>
    <definedName name="koef_kpn" localSheetId="25">#REF!</definedName>
    <definedName name="koef_kpn" localSheetId="6">#REF!</definedName>
    <definedName name="koef_kpn" localSheetId="9">#REF!</definedName>
    <definedName name="koef_kpn" localSheetId="12">#REF!</definedName>
    <definedName name="koef_kpn">#REF!</definedName>
    <definedName name="koef_prer_nad_gm_mzdy" localSheetId="20">#REF!</definedName>
    <definedName name="koef_prer_nad_gm_mzdy" localSheetId="25">#REF!</definedName>
    <definedName name="koef_prer_nad_gm_mzdy" localSheetId="6">#REF!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25">#REF!</definedName>
    <definedName name="koef_PV" localSheetId="6">#REF!</definedName>
    <definedName name="koef_PV" localSheetId="9">#REF!</definedName>
    <definedName name="koef_PV" localSheetId="12">#REF!</definedName>
    <definedName name="koef_PV">#REF!</definedName>
    <definedName name="koef_udr_kat1" localSheetId="20">#REF!</definedName>
    <definedName name="koef_udr_kat1" localSheetId="25">#REF!</definedName>
    <definedName name="koef_udr_kat1" localSheetId="6">#REF!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25">#REF!</definedName>
    <definedName name="koef_udr_kat2" localSheetId="6">#REF!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25">#REF!</definedName>
    <definedName name="koef_udr_kat3" localSheetId="6">#REF!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25">#REF!</definedName>
    <definedName name="koef_VV" localSheetId="6">#REF!</definedName>
    <definedName name="koef_VV" localSheetId="9">#REF!</definedName>
    <definedName name="koef_VV" localSheetId="12">#REF!</definedName>
    <definedName name="koef_VV">#REF!</definedName>
    <definedName name="kpn_ca_do" localSheetId="20">#REF!</definedName>
    <definedName name="kpn_ca_do" localSheetId="25">#REF!</definedName>
    <definedName name="kpn_ca_do" localSheetId="6">#REF!</definedName>
    <definedName name="kpn_ca_do" localSheetId="9">#REF!</definedName>
    <definedName name="kpn_ca_do" localSheetId="12">#REF!</definedName>
    <definedName name="kpn_ca_do">#REF!</definedName>
    <definedName name="kpn_ca_nad" localSheetId="20">#REF!</definedName>
    <definedName name="kpn_ca_nad" localSheetId="25">#REF!</definedName>
    <definedName name="kpn_ca_nad" localSheetId="6">#REF!</definedName>
    <definedName name="kpn_ca_nad" localSheetId="9">#REF!</definedName>
    <definedName name="kpn_ca_nad" localSheetId="12">#REF!</definedName>
    <definedName name="kpn_ca_nad">#REF!</definedName>
    <definedName name="kzk" localSheetId="20">#REF!</definedName>
    <definedName name="kzk" localSheetId="25">#REF!</definedName>
    <definedName name="kzk" localSheetId="6">#REF!</definedName>
    <definedName name="kzk" localSheetId="9">#REF!</definedName>
    <definedName name="kzk" localSheetId="12">#REF!</definedName>
    <definedName name="kzk">#REF!</definedName>
    <definedName name="kzspp" localSheetId="20">#REF!</definedName>
    <definedName name="kzspp" localSheetId="25">#REF!</definedName>
    <definedName name="kzspp" localSheetId="6">#REF!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'T12-KV'!$A$1:$I$23</definedName>
    <definedName name="_xlnm.Print_Area" localSheetId="18">'T13-Fondy'!$A$1:$N$22</definedName>
    <definedName name="_xlnm.Print_Area" localSheetId="19">'T16 - Štruktúra hotovosti'!$A$1:$D$24</definedName>
    <definedName name="_xlnm.Print_Area" localSheetId="20">'T17-Dotácie zo ŠF EU-nová'!$A$1:$H$35</definedName>
    <definedName name="_xlnm.Print_Area" localSheetId="21">'T18-Ostatné dotácie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T22_Výnosy_soc_oblasť!$A$1:$F$44</definedName>
    <definedName name="_xlnm.Print_Area" localSheetId="26">T23_Náklady_soc_oblasť!$A$1:$F$42</definedName>
    <definedName name="_xlnm.Print_Area" localSheetId="6">'T2-Ostatné dot mimo MŠ SR'!$A$1:$E$54</definedName>
    <definedName name="_xlnm.Print_Area" localSheetId="7">'T3-Výnosy'!$A$1:$H$73</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'!$A$1:$E$8</definedName>
    <definedName name="_xlnm.Print_Area" localSheetId="13">'T8-Soc_štipendiá'!$A$1:$F$15</definedName>
    <definedName name="_xlnm.Print_Area" localSheetId="14">'T9_ŠD '!$A$1:$F$21</definedName>
    <definedName name="_xlnm.Print_Area" localSheetId="2">Vysvetlivky!$A$1:$B$93</definedName>
    <definedName name="pocet_jedal" localSheetId="20">#REF!</definedName>
    <definedName name="pocet_jedal" localSheetId="25">#REF!</definedName>
    <definedName name="pocet_jedal" localSheetId="6">#REF!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25">#REF!</definedName>
    <definedName name="podiel" localSheetId="6">#REF!</definedName>
    <definedName name="podiel" localSheetId="9">#REF!</definedName>
    <definedName name="podiel" localSheetId="12">#REF!</definedName>
    <definedName name="podiel">#REF!</definedName>
    <definedName name="poistné" localSheetId="20">#REF!</definedName>
    <definedName name="poistné" localSheetId="25">#REF!</definedName>
    <definedName name="poistné" localSheetId="6">#REF!</definedName>
    <definedName name="poistné" localSheetId="9">#REF!</definedName>
    <definedName name="poistné" localSheetId="12">#REF!</definedName>
    <definedName name="poistné">#REF!</definedName>
    <definedName name="Pp_DrŠ_exist" localSheetId="20">#REF!</definedName>
    <definedName name="Pp_DrŠ_exist" localSheetId="25">#REF!</definedName>
    <definedName name="Pp_DrŠ_exist" localSheetId="6">#REF!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25">#REF!</definedName>
    <definedName name="Pp_DrŠ_noví" localSheetId="6">#REF!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25">#REF!</definedName>
    <definedName name="Pp_DrŠ_spolu" localSheetId="6">#REF!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25">#REF!</definedName>
    <definedName name="Pp_klinické_TaS" localSheetId="6">#REF!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25">#REF!</definedName>
    <definedName name="Pp_klinické_TaS_rozpísaný" localSheetId="6">#REF!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25">#REF!</definedName>
    <definedName name="Pp_Rozvoj_BD" localSheetId="6">#REF!</definedName>
    <definedName name="Pp_Rozvoj_BD" localSheetId="9">#REF!</definedName>
    <definedName name="Pp_Rozvoj_BD" localSheetId="12">#REF!</definedName>
    <definedName name="Pp_Rozvoj_BD">#REF!</definedName>
    <definedName name="Pp_Soc_BD" localSheetId="20">#REF!</definedName>
    <definedName name="Pp_Soc_BD" localSheetId="25">#REF!</definedName>
    <definedName name="Pp_Soc_BD" localSheetId="6">#REF!</definedName>
    <definedName name="Pp_Soc_BD" localSheetId="9">#REF!</definedName>
    <definedName name="Pp_Soc_BD" localSheetId="12">#REF!</definedName>
    <definedName name="Pp_Soc_BD">#REF!</definedName>
    <definedName name="Pp_VaT_BD" localSheetId="20">#REF!</definedName>
    <definedName name="Pp_VaT_BD" localSheetId="25">#REF!</definedName>
    <definedName name="Pp_VaT_BD" localSheetId="6">#REF!</definedName>
    <definedName name="Pp_VaT_BD" localSheetId="9">#REF!</definedName>
    <definedName name="Pp_VaT_BD" localSheetId="12">#REF!</definedName>
    <definedName name="Pp_VaT_BD">#REF!</definedName>
    <definedName name="Pp_VaT_mzdy" localSheetId="20">#REF!</definedName>
    <definedName name="Pp_VaT_mzdy" localSheetId="25">#REF!</definedName>
    <definedName name="Pp_VaT_mzdy" localSheetId="6">#REF!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25">#REF!</definedName>
    <definedName name="Pp_VaT_mzdy_rezerva" localSheetId="6">#REF!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25">#REF!</definedName>
    <definedName name="Pp_VaT_mzdy_zac_roka" localSheetId="6">#REF!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25">#REF!</definedName>
    <definedName name="Pp_Vzdel_BD" localSheetId="6">#REF!</definedName>
    <definedName name="Pp_Vzdel_BD" localSheetId="9">#REF!</definedName>
    <definedName name="Pp_Vzdel_BD" localSheetId="12">#REF!</definedName>
    <definedName name="Pp_Vzdel_BD">#REF!</definedName>
    <definedName name="Pp_Vzdel_mzdy" localSheetId="20">#REF!</definedName>
    <definedName name="Pp_Vzdel_mzdy" localSheetId="25">#REF!</definedName>
    <definedName name="Pp_Vzdel_mzdy" localSheetId="6">#REF!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25">#REF!</definedName>
    <definedName name="Pp_Vzdel_mzdy_kontr" localSheetId="6">#REF!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25">#REF!</definedName>
    <definedName name="Pp_Vzdel_mzdy_na_prer_modif" localSheetId="6">#REF!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25">#REF!</definedName>
    <definedName name="Pp_Vzdel_mzdy_na_prer_nemodif" localSheetId="6">#REF!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25">#REF!</definedName>
    <definedName name="Pp_Vzdel_mzdy_prevádz" localSheetId="6">#REF!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25">#REF!</definedName>
    <definedName name="Pp_Vzdel_mzdy_rezerva" localSheetId="6">#REF!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25">#REF!</definedName>
    <definedName name="Pp_Vzdel_mzdy_spec" localSheetId="6">#REF!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25">#REF!</definedName>
    <definedName name="Pp_Vzdel_mzdy_výkon" localSheetId="6">#REF!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25">#REF!</definedName>
    <definedName name="Pp_Vzdel_mzdy_výkon_PV" localSheetId="6">#REF!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25">#REF!</definedName>
    <definedName name="Pp_Vzdel_mzdy_výkon_PV_bez" localSheetId="6">#REF!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25">#REF!</definedName>
    <definedName name="Pp_Vzdel_mzdy_výkon_PV_um" localSheetId="6">#REF!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25">#REF!</definedName>
    <definedName name="Pp_Vzdel_mzdy_výkon_VV" localSheetId="6">#REF!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25">#REF!</definedName>
    <definedName name="Pp_Vzdel_mzdy_výkon_VV_bez" localSheetId="6">#REF!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25">#REF!</definedName>
    <definedName name="Pp_Vzdel_mzdy_výkon_VV_um" localSheetId="6">#REF!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25">#REF!</definedName>
    <definedName name="Pp_Vzdel_spec_prax" localSheetId="6">#REF!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25">#REF!</definedName>
    <definedName name="Pp_Vzdel_TaS" localSheetId="6">#REF!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25">#REF!</definedName>
    <definedName name="Pp_Vzdel_TaS_rezerva" localSheetId="6">#REF!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25">#REF!</definedName>
    <definedName name="Pp_Vzdel_TaS_spec" localSheetId="6">#REF!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25">#REF!</definedName>
    <definedName name="Pp_Vzdel_TaS_stav" localSheetId="6">#REF!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25">#REF!</definedName>
    <definedName name="Pp_Vzdel_TaS_výkon" localSheetId="6">#REF!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25">#REF!</definedName>
    <definedName name="Pp_Vzdel_TaS_výkon_PPŠ" localSheetId="6">#REF!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25">#REF!</definedName>
    <definedName name="Pp_Vzdel_TaS_výkon_PPŠ_a_zákl" localSheetId="6">#REF!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25">#REF!</definedName>
    <definedName name="Pp_Vzdel_TaS_výkon_PPŠ_KEN" localSheetId="6">#REF!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25">#REF!</definedName>
    <definedName name="Pp_Vzdel_TaS_zahr_granty" localSheetId="6">#REF!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25">#REF!</definedName>
    <definedName name="Pp_Vzdel_TaS_zákl" localSheetId="6">#REF!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25">#REF!</definedName>
    <definedName name="Pr_AV_BD" localSheetId="6">#REF!</definedName>
    <definedName name="Pr_AV_BD" localSheetId="9">#REF!</definedName>
    <definedName name="Pr_AV_BD" localSheetId="12">#REF!</definedName>
    <definedName name="Pr_AV_BD">#REF!</definedName>
    <definedName name="Pr_IV_BD" localSheetId="20">#REF!</definedName>
    <definedName name="Pr_IV_BD" localSheetId="25">#REF!</definedName>
    <definedName name="Pr_IV_BD" localSheetId="6">#REF!</definedName>
    <definedName name="Pr_IV_BD" localSheetId="9">#REF!</definedName>
    <definedName name="Pr_IV_BD" localSheetId="12">#REF!</definedName>
    <definedName name="Pr_IV_BD">#REF!</definedName>
    <definedName name="Pr_IV_KV" localSheetId="20">#REF!</definedName>
    <definedName name="Pr_IV_KV" localSheetId="25">#REF!</definedName>
    <definedName name="Pr_IV_KV" localSheetId="6">#REF!</definedName>
    <definedName name="Pr_IV_KV" localSheetId="9">#REF!</definedName>
    <definedName name="Pr_IV_KV" localSheetId="12">#REF!</definedName>
    <definedName name="Pr_IV_KV">#REF!</definedName>
    <definedName name="Pr_IV_KV_rezerva" localSheetId="20">#REF!</definedName>
    <definedName name="Pr_IV_KV_rezerva" localSheetId="25">#REF!</definedName>
    <definedName name="Pr_IV_KV_rezerva" localSheetId="6">#REF!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25">#REF!</definedName>
    <definedName name="Pr_KEGA_BD" localSheetId="6">#REF!</definedName>
    <definedName name="Pr_KEGA_BD" localSheetId="9">#REF!</definedName>
    <definedName name="Pr_KEGA_BD" localSheetId="12">#REF!</definedName>
    <definedName name="Pr_KEGA_BD">#REF!</definedName>
    <definedName name="Pr_klinické" localSheetId="20">#REF!</definedName>
    <definedName name="Pr_klinické" localSheetId="25">#REF!</definedName>
    <definedName name="Pr_klinické" localSheetId="6">#REF!</definedName>
    <definedName name="Pr_klinické" localSheetId="9">#REF!</definedName>
    <definedName name="Pr_klinické" localSheetId="12">#REF!</definedName>
    <definedName name="Pr_klinické">#REF!</definedName>
    <definedName name="Pr_KŠ" localSheetId="20">#REF!</definedName>
    <definedName name="Pr_KŠ" localSheetId="25">#REF!</definedName>
    <definedName name="Pr_KŠ" localSheetId="6">#REF!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25">#REF!</definedName>
    <definedName name="Pr_motštip_BD" localSheetId="6">#REF!</definedName>
    <definedName name="Pr_motštip_BD" localSheetId="9">#REF!</definedName>
    <definedName name="Pr_motštip_BD" localSheetId="12">#REF!</definedName>
    <definedName name="Pr_motštip_BD">#REF!</definedName>
    <definedName name="Pr_MVTS_BD" localSheetId="20">#REF!</definedName>
    <definedName name="Pr_MVTS_BD" localSheetId="25">#REF!</definedName>
    <definedName name="Pr_MVTS_BD" localSheetId="6">#REF!</definedName>
    <definedName name="Pr_MVTS_BD" localSheetId="9">#REF!</definedName>
    <definedName name="Pr_MVTS_BD" localSheetId="12">#REF!</definedName>
    <definedName name="Pr_MVTS_BD">#REF!</definedName>
    <definedName name="Pr_socštip_BD" localSheetId="20">#REF!</definedName>
    <definedName name="Pr_socštip_BD" localSheetId="25">#REF!</definedName>
    <definedName name="Pr_socštip_BD" localSheetId="6">#REF!</definedName>
    <definedName name="Pr_socštip_BD" localSheetId="9">#REF!</definedName>
    <definedName name="Pr_socštip_BD" localSheetId="12">#REF!</definedName>
    <definedName name="Pr_socštip_BD">#REF!</definedName>
    <definedName name="Pr_ŠD" localSheetId="20">#REF!</definedName>
    <definedName name="Pr_ŠD" localSheetId="25">#REF!</definedName>
    <definedName name="Pr_ŠD" localSheetId="6">#REF!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25">#REF!</definedName>
    <definedName name="Pr_ŠDaJKŠPC_BD" localSheetId="6">#REF!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25">#REF!</definedName>
    <definedName name="Pr_VaT_KV_zac_roka" localSheetId="6">#REF!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25">#REF!</definedName>
    <definedName name="Pr_VaT_TaS" localSheetId="6">#REF!</definedName>
    <definedName name="Pr_VaT_TaS" localSheetId="9">#REF!</definedName>
    <definedName name="Pr_VaT_TaS" localSheetId="12">#REF!</definedName>
    <definedName name="Pr_VaT_TaS">#REF!</definedName>
    <definedName name="Pr_VaT_TaS_rezerva" localSheetId="20">#REF!</definedName>
    <definedName name="Pr_VaT_TaS_rezerva" localSheetId="25">#REF!</definedName>
    <definedName name="Pr_VaT_TaS_rezerva" localSheetId="6">#REF!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25">#REF!</definedName>
    <definedName name="Pr_VaT_TaS_zac_roka" localSheetId="6">#REF!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25">#REF!</definedName>
    <definedName name="Pr_VEGA_BD" localSheetId="6">#REF!</definedName>
    <definedName name="Pr_VEGA_BD" localSheetId="9">#REF!</definedName>
    <definedName name="Pr_VEGA_BD" localSheetId="12">#REF!</definedName>
    <definedName name="Pr_VEGA_BD">#REF!</definedName>
    <definedName name="predmety" localSheetId="20">#REF!</definedName>
    <definedName name="predmety" localSheetId="25">#REF!</definedName>
    <definedName name="predmety" localSheetId="6">#REF!</definedName>
    <definedName name="predmety" localSheetId="9">#REF!</definedName>
    <definedName name="predmety" localSheetId="12">#REF!</definedName>
    <definedName name="predmety">#REF!</definedName>
    <definedName name="prisp_na_1_jedlo" localSheetId="20">#REF!</definedName>
    <definedName name="prisp_na_1_jedlo" localSheetId="25">#REF!</definedName>
    <definedName name="prisp_na_1_jedlo" localSheetId="6">#REF!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25">#REF!</definedName>
    <definedName name="prisp_na_ubyt_stud_SD" localSheetId="6">#REF!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25">#REF!</definedName>
    <definedName name="prisp_na_ubyt_stud_ZZ" localSheetId="6">#REF!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25">#REF!</definedName>
    <definedName name="prísp_zákl_prev" localSheetId="6">#REF!</definedName>
    <definedName name="prísp_zákl_prev" localSheetId="9">#REF!</definedName>
    <definedName name="prísp_zákl_prev" localSheetId="12">#REF!</definedName>
    <definedName name="prísp_zákl_prev">#REF!</definedName>
    <definedName name="R_vvs" localSheetId="20">#REF!</definedName>
    <definedName name="R_vvs" localSheetId="25">#REF!</definedName>
    <definedName name="R_vvs" localSheetId="6">#REF!</definedName>
    <definedName name="R_vvs" localSheetId="9">#REF!</definedName>
    <definedName name="R_vvs" localSheetId="12">#REF!</definedName>
    <definedName name="R_vvs">#REF!</definedName>
    <definedName name="R_vvs_BD" localSheetId="20">#REF!</definedName>
    <definedName name="R_vvs_BD" localSheetId="25">#REF!</definedName>
    <definedName name="R_vvs_BD" localSheetId="6">#REF!</definedName>
    <definedName name="R_vvs_BD" localSheetId="9">#REF!</definedName>
    <definedName name="R_vvs_BD" localSheetId="12">#REF!</definedName>
    <definedName name="R_vvs_BD">#REF!</definedName>
    <definedName name="R_vvs_VaT_BD" localSheetId="20">#REF!</definedName>
    <definedName name="R_vvs_VaT_BD" localSheetId="25">#REF!</definedName>
    <definedName name="R_vvs_VaT_BD" localSheetId="6">#REF!</definedName>
    <definedName name="R_vvs_VaT_BD" localSheetId="9">#REF!</definedName>
    <definedName name="R_vvs_VaT_BD" localSheetId="12">#REF!</definedName>
    <definedName name="R_vvs_VaT_BD">#REF!</definedName>
    <definedName name="Sanet" localSheetId="20">#REF!</definedName>
    <definedName name="Sanet" localSheetId="25">#REF!</definedName>
    <definedName name="Sanet" localSheetId="6">#REF!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25">#REF!</definedName>
    <definedName name="stavba_ucelova" localSheetId="6">#REF!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25">#REF!</definedName>
    <definedName name="studenti_vstup" localSheetId="6">#REF!</definedName>
    <definedName name="studenti_vstup" localSheetId="9">#REF!</definedName>
    <definedName name="studenti_vstup" localSheetId="12">#REF!</definedName>
    <definedName name="studenti_vstup">#REF!</definedName>
    <definedName name="sustava" localSheetId="20">#REF!</definedName>
    <definedName name="sustava" localSheetId="25">#REF!</definedName>
    <definedName name="sustava" localSheetId="6">#REF!</definedName>
    <definedName name="sustava" localSheetId="9">#REF!</definedName>
    <definedName name="sustava" localSheetId="12">#REF!</definedName>
    <definedName name="sustava">#REF!</definedName>
    <definedName name="T_1" localSheetId="20">#REF!</definedName>
    <definedName name="T_1" localSheetId="25">#REF!</definedName>
    <definedName name="T_1" localSheetId="6">#REF!</definedName>
    <definedName name="T_1" localSheetId="12">#REF!</definedName>
    <definedName name="T_1">#REF!</definedName>
    <definedName name="T_25_so_štip_2007" localSheetId="20">#REF!</definedName>
    <definedName name="T_25_so_štip_2007" localSheetId="25">#REF!</definedName>
    <definedName name="T_25_so_štip_2007" localSheetId="6">#REF!</definedName>
    <definedName name="T_25_so_štip_2007" localSheetId="12">#REF!</definedName>
    <definedName name="T_25_so_štip_2007">#REF!</definedName>
    <definedName name="T_M" localSheetId="20">#REF!</definedName>
    <definedName name="T_M" localSheetId="25">#REF!</definedName>
    <definedName name="T_M" localSheetId="6">#REF!</definedName>
    <definedName name="T_M" localSheetId="12">#REF!</definedName>
    <definedName name="T_M">#REF!</definedName>
    <definedName name="váha_absDrš" localSheetId="20">#REF!</definedName>
    <definedName name="váha_absDrš" localSheetId="25">#REF!</definedName>
    <definedName name="váha_absDrš" localSheetId="6">#REF!</definedName>
    <definedName name="váha_absDrš" localSheetId="9">#REF!</definedName>
    <definedName name="váha_absDrš" localSheetId="12">#REF!</definedName>
    <definedName name="váha_absDrš">#REF!</definedName>
    <definedName name="váha_DG" localSheetId="20">#REF!</definedName>
    <definedName name="váha_DG" localSheetId="25">#REF!</definedName>
    <definedName name="váha_DG" localSheetId="6">#REF!</definedName>
    <definedName name="váha_DG" localSheetId="9">#REF!</definedName>
    <definedName name="váha_DG" localSheetId="12">#REF!</definedName>
    <definedName name="váha_DG">#REF!</definedName>
    <definedName name="váha_poDs" localSheetId="20">#REF!</definedName>
    <definedName name="váha_poDs" localSheetId="25">#REF!</definedName>
    <definedName name="váha_poDs" localSheetId="6">#REF!</definedName>
    <definedName name="váha_poDs" localSheetId="9">#REF!</definedName>
    <definedName name="váha_poDs" localSheetId="12">#REF!</definedName>
    <definedName name="váha_poDs">#REF!</definedName>
    <definedName name="váha_Pub" localSheetId="20">#REF!</definedName>
    <definedName name="váha_Pub" localSheetId="25">#REF!</definedName>
    <definedName name="váha_Pub" localSheetId="6">#REF!</definedName>
    <definedName name="váha_Pub" localSheetId="9">#REF!</definedName>
    <definedName name="váha_Pub" localSheetId="12">#REF!</definedName>
    <definedName name="váha_Pub">#REF!</definedName>
    <definedName name="váha_ZG" localSheetId="20">#REF!</definedName>
    <definedName name="váha_ZG" localSheetId="25">#REF!</definedName>
    <definedName name="váha_ZG" localSheetId="6">#REF!</definedName>
    <definedName name="váha_ZG" localSheetId="9">#REF!</definedName>
    <definedName name="váha_ZG" localSheetId="12">#REF!</definedName>
    <definedName name="váha_ZG">#REF!</definedName>
    <definedName name="výkon_um" localSheetId="20">#REF!</definedName>
    <definedName name="výkon_um" localSheetId="25">#REF!</definedName>
    <definedName name="výkon_um" localSheetId="6">#REF!</definedName>
    <definedName name="výkon_um" localSheetId="9">#REF!</definedName>
    <definedName name="výkon_um" localSheetId="12">#REF!</definedName>
    <definedName name="výkon_um">#REF!</definedName>
    <definedName name="x" localSheetId="20">#REF!</definedName>
    <definedName name="x" localSheetId="25">#REF!</definedName>
    <definedName name="x" localSheetId="6">#REF!</definedName>
    <definedName name="x" localSheetId="12">#REF!</definedName>
    <definedName name="x">#REF!</definedName>
    <definedName name="xxx" hidden="1">"3TGMUFSSIAIMK2KTNC9DELQD0"</definedName>
    <definedName name="zakl_prisp_na_prev_SD" localSheetId="20">#REF!</definedName>
    <definedName name="zakl_prisp_na_prev_SD" localSheetId="25">#REF!</definedName>
    <definedName name="zakl_prisp_na_prev_SD" localSheetId="6">#REF!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25">#REF!</definedName>
    <definedName name="záloha" localSheetId="6">#REF!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E31" i="161" l="1"/>
  <c r="E30" i="161"/>
  <c r="E29" i="161"/>
  <c r="E28" i="161"/>
  <c r="E27" i="161"/>
  <c r="E26" i="161"/>
  <c r="C25" i="161"/>
  <c r="E25" i="161" s="1"/>
  <c r="E24" i="161"/>
  <c r="E23" i="161"/>
  <c r="E16" i="161"/>
  <c r="E15" i="161"/>
  <c r="E14" i="161"/>
  <c r="E13" i="161"/>
  <c r="E12" i="161"/>
  <c r="E11" i="161"/>
  <c r="E10" i="161"/>
  <c r="E7" i="161"/>
  <c r="C6" i="161"/>
  <c r="E6" i="161" s="1"/>
  <c r="E29" i="134" l="1"/>
  <c r="E19" i="134"/>
  <c r="E18" i="134"/>
  <c r="E15" i="134"/>
  <c r="E14" i="134"/>
  <c r="E13" i="134"/>
  <c r="E12" i="134"/>
  <c r="E11" i="134"/>
  <c r="E9" i="134"/>
  <c r="E7" i="134"/>
  <c r="E8" i="134"/>
  <c r="E6" i="134"/>
  <c r="E5" i="134"/>
  <c r="E19" i="162"/>
  <c r="E7" i="162"/>
  <c r="E6" i="162"/>
  <c r="E40" i="162" l="1"/>
  <c r="D40" i="162"/>
  <c r="D41" i="162" s="1"/>
  <c r="F43" i="162"/>
  <c r="F42" i="162"/>
  <c r="F39" i="162"/>
  <c r="F38" i="162"/>
  <c r="F37" i="162"/>
  <c r="F36" i="162"/>
  <c r="F35" i="162"/>
  <c r="F34" i="162"/>
  <c r="F33" i="162"/>
  <c r="F32" i="162"/>
  <c r="F31" i="162"/>
  <c r="F30" i="162"/>
  <c r="F29" i="162"/>
  <c r="F28" i="162"/>
  <c r="F27" i="162"/>
  <c r="F26" i="162"/>
  <c r="F25" i="162"/>
  <c r="F24" i="162"/>
  <c r="F23" i="162"/>
  <c r="F22" i="162"/>
  <c r="F21" i="162"/>
  <c r="F20" i="162"/>
  <c r="F19" i="162"/>
  <c r="F18" i="162"/>
  <c r="F17" i="162"/>
  <c r="F16" i="162"/>
  <c r="F15" i="162"/>
  <c r="F14" i="162"/>
  <c r="F13" i="162"/>
  <c r="F12" i="162"/>
  <c r="F11" i="162"/>
  <c r="F10" i="162"/>
  <c r="F9" i="162"/>
  <c r="F8" i="162"/>
  <c r="F7" i="162"/>
  <c r="F6" i="162"/>
  <c r="F5" i="162"/>
  <c r="F40" i="162" l="1"/>
  <c r="E38" i="134"/>
  <c r="C35" i="144" l="1"/>
  <c r="D9" i="161" l="1"/>
  <c r="L9" i="61" l="1"/>
  <c r="D6" i="146" l="1"/>
  <c r="D17" i="146" l="1"/>
  <c r="E32" i="146"/>
  <c r="C31" i="146"/>
  <c r="E31" i="146" s="1"/>
  <c r="E30" i="146"/>
  <c r="E29" i="146"/>
  <c r="C33" i="146" l="1"/>
  <c r="E33" i="146" s="1"/>
  <c r="J6" i="91" l="1"/>
  <c r="L8" i="61" l="1"/>
  <c r="E32" i="161"/>
  <c r="C22" i="161"/>
  <c r="D22" i="161"/>
  <c r="E21" i="161"/>
  <c r="E20" i="161"/>
  <c r="E19" i="161"/>
  <c r="D18" i="161"/>
  <c r="E17" i="161"/>
  <c r="C9" i="161"/>
  <c r="E9" i="161" s="1"/>
  <c r="C5" i="161"/>
  <c r="D5" i="161"/>
  <c r="E5" i="161" l="1"/>
  <c r="E22" i="161"/>
  <c r="D33" i="161"/>
  <c r="C18" i="161"/>
  <c r="E18" i="161" s="1"/>
  <c r="C11" i="109"/>
  <c r="C33" i="161" l="1"/>
  <c r="E33" i="161" l="1"/>
  <c r="C18" i="23"/>
  <c r="C17" i="23"/>
  <c r="C16" i="23"/>
  <c r="C14" i="23"/>
  <c r="C12" i="23"/>
  <c r="C9" i="23"/>
  <c r="C8" i="23"/>
  <c r="F18" i="145"/>
  <c r="E7" i="145"/>
  <c r="E17" i="145" s="1"/>
  <c r="C7" i="145"/>
  <c r="C17" i="145" s="1"/>
  <c r="C7" i="90"/>
  <c r="C14" i="90" s="1"/>
  <c r="C20" i="90" s="1"/>
  <c r="D91" i="150" l="1"/>
  <c r="C91" i="150"/>
  <c r="D82" i="150"/>
  <c r="C82" i="150"/>
  <c r="C80" i="150" s="1"/>
  <c r="D80" i="150"/>
  <c r="D68" i="150"/>
  <c r="C68" i="150"/>
  <c r="D62" i="150"/>
  <c r="D60" i="150" s="1"/>
  <c r="C62" i="150"/>
  <c r="C60" i="150" s="1"/>
  <c r="D44" i="150"/>
  <c r="C44" i="150"/>
  <c r="D40" i="150"/>
  <c r="C40" i="150"/>
  <c r="D32" i="150"/>
  <c r="C32" i="150"/>
  <c r="D27" i="150"/>
  <c r="C27" i="150"/>
  <c r="D19" i="150"/>
  <c r="C19" i="150"/>
  <c r="D6" i="150"/>
  <c r="C6" i="150"/>
  <c r="C5" i="154"/>
  <c r="C10" i="154"/>
  <c r="C17" i="154"/>
  <c r="E31" i="142"/>
  <c r="E39" i="142"/>
  <c r="D55" i="142"/>
  <c r="C55" i="142"/>
  <c r="D39" i="142"/>
  <c r="C39" i="142"/>
  <c r="D31" i="142"/>
  <c r="C31" i="142"/>
  <c r="D25" i="142"/>
  <c r="C25" i="142"/>
  <c r="D21" i="142"/>
  <c r="C21" i="142"/>
  <c r="D11" i="142"/>
  <c r="C11" i="142"/>
  <c r="D6" i="142"/>
  <c r="C6" i="142"/>
  <c r="C103" i="150" l="1"/>
  <c r="D103" i="150"/>
  <c r="C7" i="64"/>
  <c r="C5" i="64" s="1"/>
  <c r="H28" i="160" l="1"/>
  <c r="H26" i="160" s="1"/>
  <c r="G27" i="160"/>
  <c r="G26" i="160"/>
  <c r="F26" i="160"/>
  <c r="E26" i="160"/>
  <c r="D26" i="160"/>
  <c r="C26" i="160"/>
  <c r="H25" i="160"/>
  <c r="H23" i="160"/>
  <c r="G23" i="160"/>
  <c r="F23" i="160"/>
  <c r="F19" i="160" s="1"/>
  <c r="E23" i="160"/>
  <c r="D23" i="160"/>
  <c r="D19" i="160" s="1"/>
  <c r="H19" i="160" s="1"/>
  <c r="C23" i="160"/>
  <c r="H22" i="160"/>
  <c r="H20" i="160" s="1"/>
  <c r="G21" i="160"/>
  <c r="G20" i="160"/>
  <c r="F20" i="160"/>
  <c r="E20" i="160"/>
  <c r="E19" i="160" s="1"/>
  <c r="D20" i="160"/>
  <c r="C20" i="160"/>
  <c r="C19" i="160" s="1"/>
  <c r="G19" i="160" s="1"/>
  <c r="H17" i="160"/>
  <c r="G16" i="160"/>
  <c r="F15" i="160"/>
  <c r="E15" i="160"/>
  <c r="D15" i="160"/>
  <c r="C15" i="160"/>
  <c r="H14" i="160"/>
  <c r="G13" i="160"/>
  <c r="F12" i="160"/>
  <c r="E12" i="160"/>
  <c r="D12" i="160"/>
  <c r="H12" i="160" s="1"/>
  <c r="C12" i="160"/>
  <c r="H11" i="160"/>
  <c r="G10" i="160"/>
  <c r="F9" i="160"/>
  <c r="E9" i="160"/>
  <c r="D9" i="160"/>
  <c r="C9" i="160"/>
  <c r="G9" i="160" s="1"/>
  <c r="H8" i="160"/>
  <c r="A8" i="160"/>
  <c r="A9" i="160" s="1"/>
  <c r="A10" i="160" s="1"/>
  <c r="A11" i="160" s="1"/>
  <c r="G7" i="160"/>
  <c r="F6" i="160"/>
  <c r="F18" i="160" s="1"/>
  <c r="F35" i="160" s="1"/>
  <c r="E6" i="160"/>
  <c r="D6" i="160"/>
  <c r="C6" i="160"/>
  <c r="E18" i="160" l="1"/>
  <c r="E35" i="160" s="1"/>
  <c r="D18" i="160"/>
  <c r="H18" i="160"/>
  <c r="H35" i="160" s="1"/>
  <c r="D35" i="160"/>
  <c r="C18" i="160"/>
  <c r="H9" i="160"/>
  <c r="G12" i="160"/>
  <c r="G6" i="160"/>
  <c r="H6" i="160"/>
  <c r="G15" i="160"/>
  <c r="H15" i="160"/>
  <c r="G18" i="160" l="1"/>
  <c r="G35" i="160" s="1"/>
  <c r="C35" i="160"/>
  <c r="C24" i="64"/>
  <c r="D20" i="146" l="1"/>
  <c r="C20" i="146"/>
  <c r="C14" i="116"/>
  <c r="H19" i="145"/>
  <c r="F19" i="145"/>
  <c r="I16" i="91"/>
  <c r="F31" i="142"/>
  <c r="H31" i="142" s="1"/>
  <c r="G31" i="142"/>
  <c r="D10" i="91"/>
  <c r="E10" i="91"/>
  <c r="E23" i="91" s="1"/>
  <c r="F10" i="91"/>
  <c r="F23" i="91" s="1"/>
  <c r="G10" i="91"/>
  <c r="G23" i="91" s="1"/>
  <c r="H10" i="91"/>
  <c r="H23" i="91" s="1"/>
  <c r="I11" i="91"/>
  <c r="I12" i="91"/>
  <c r="I13" i="91"/>
  <c r="I14" i="91"/>
  <c r="I15" i="91"/>
  <c r="C10" i="91"/>
  <c r="C23" i="91" s="1"/>
  <c r="F25" i="142"/>
  <c r="H25" i="142" s="1"/>
  <c r="E25" i="142"/>
  <c r="G39" i="142"/>
  <c r="E55" i="142"/>
  <c r="G55" i="142" s="1"/>
  <c r="F55" i="142"/>
  <c r="G28" i="142"/>
  <c r="H28" i="142"/>
  <c r="D22" i="144"/>
  <c r="E22" i="144"/>
  <c r="F22" i="144"/>
  <c r="C22" i="144"/>
  <c r="I22" i="91"/>
  <c r="D23" i="91"/>
  <c r="G48" i="142"/>
  <c r="H48" i="142"/>
  <c r="D5" i="154"/>
  <c r="G36" i="142"/>
  <c r="H36" i="142"/>
  <c r="G37" i="142"/>
  <c r="H37" i="142"/>
  <c r="H38" i="142"/>
  <c r="G38" i="142"/>
  <c r="E6" i="159"/>
  <c r="E7" i="159"/>
  <c r="D7" i="159"/>
  <c r="C7" i="159"/>
  <c r="E5" i="159"/>
  <c r="D9" i="157"/>
  <c r="F6" i="157" s="1"/>
  <c r="F9" i="157" s="1"/>
  <c r="D19" i="144"/>
  <c r="E19" i="144"/>
  <c r="F19" i="144"/>
  <c r="D16" i="144"/>
  <c r="E16" i="144"/>
  <c r="F16" i="144"/>
  <c r="D13" i="144"/>
  <c r="E13" i="144"/>
  <c r="F13" i="144"/>
  <c r="D10" i="144"/>
  <c r="E10" i="144"/>
  <c r="E7" i="144"/>
  <c r="E6" i="144" s="1"/>
  <c r="F10" i="144"/>
  <c r="D7" i="144"/>
  <c r="F7" i="144"/>
  <c r="E6" i="23"/>
  <c r="E14" i="23"/>
  <c r="E16" i="23"/>
  <c r="E17" i="23"/>
  <c r="E18" i="23"/>
  <c r="E8" i="23"/>
  <c r="E9" i="23"/>
  <c r="E10" i="23"/>
  <c r="E11" i="23"/>
  <c r="E12" i="23"/>
  <c r="D7" i="23"/>
  <c r="C7" i="23"/>
  <c r="G64" i="142"/>
  <c r="H64" i="142"/>
  <c r="G66" i="142"/>
  <c r="H66" i="142"/>
  <c r="G88" i="150"/>
  <c r="H88" i="150"/>
  <c r="G56" i="142"/>
  <c r="G57" i="142"/>
  <c r="G58" i="142"/>
  <c r="G59" i="142"/>
  <c r="G60" i="142"/>
  <c r="G61" i="142"/>
  <c r="G62"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9" i="142"/>
  <c r="H29" i="142"/>
  <c r="G30" i="142"/>
  <c r="H30" i="142"/>
  <c r="G32" i="142"/>
  <c r="H32" i="142"/>
  <c r="G33" i="142"/>
  <c r="H33" i="142"/>
  <c r="G34" i="142"/>
  <c r="H34" i="142"/>
  <c r="G35" i="142"/>
  <c r="H35" i="142"/>
  <c r="G40" i="142"/>
  <c r="H40" i="142"/>
  <c r="G41" i="142"/>
  <c r="H41" i="142"/>
  <c r="G42" i="142"/>
  <c r="H42" i="142"/>
  <c r="G43" i="142"/>
  <c r="H43" i="142"/>
  <c r="G44" i="142"/>
  <c r="H44" i="142"/>
  <c r="G45" i="142"/>
  <c r="H45" i="142"/>
  <c r="G46" i="142"/>
  <c r="H46" i="142"/>
  <c r="G47" i="142"/>
  <c r="H47" i="142"/>
  <c r="G49" i="142"/>
  <c r="H49" i="142"/>
  <c r="G50" i="142"/>
  <c r="H50" i="142"/>
  <c r="G51" i="142"/>
  <c r="H51" i="142"/>
  <c r="G52" i="142"/>
  <c r="H52" i="142"/>
  <c r="G53" i="142"/>
  <c r="H53" i="142"/>
  <c r="G54" i="142"/>
  <c r="H54" i="142"/>
  <c r="H61" i="142"/>
  <c r="H62" i="142"/>
  <c r="G63" i="142"/>
  <c r="H63" i="142"/>
  <c r="G65" i="142"/>
  <c r="H65" i="142"/>
  <c r="G67" i="142"/>
  <c r="H67" i="142"/>
  <c r="G68" i="142"/>
  <c r="H68" i="142"/>
  <c r="G69" i="142"/>
  <c r="H69" i="142"/>
  <c r="D70" i="142"/>
  <c r="E6" i="142"/>
  <c r="E11" i="142"/>
  <c r="E21" i="142"/>
  <c r="F6" i="142"/>
  <c r="F11" i="142"/>
  <c r="H11" i="142" s="1"/>
  <c r="F21" i="142"/>
  <c r="H21" i="142" s="1"/>
  <c r="F39" i="142"/>
  <c r="H39" i="142" s="1"/>
  <c r="C7" i="144"/>
  <c r="C10" i="144"/>
  <c r="C16" i="144"/>
  <c r="C19" i="144"/>
  <c r="C13" i="144"/>
  <c r="G99" i="150"/>
  <c r="H99" i="150"/>
  <c r="C9" i="157"/>
  <c r="E6" i="157" s="1"/>
  <c r="E9" i="157" s="1"/>
  <c r="D17" i="154"/>
  <c r="J29" i="155"/>
  <c r="F29" i="155"/>
  <c r="K29" i="155" s="1"/>
  <c r="J28" i="155"/>
  <c r="F28" i="155"/>
  <c r="F27" i="155"/>
  <c r="F22" i="155"/>
  <c r="K22" i="155" s="1"/>
  <c r="J26" i="155"/>
  <c r="F26" i="155"/>
  <c r="K26" i="155"/>
  <c r="J25" i="155"/>
  <c r="F25" i="155"/>
  <c r="K25" i="155" s="1"/>
  <c r="J24" i="155"/>
  <c r="F24" i="155"/>
  <c r="K24" i="155" s="1"/>
  <c r="J23" i="155"/>
  <c r="J22" i="155"/>
  <c r="F23" i="155"/>
  <c r="K23" i="155" s="1"/>
  <c r="I22" i="155"/>
  <c r="H22" i="155"/>
  <c r="G22" i="155"/>
  <c r="E22" i="155"/>
  <c r="D22" i="155"/>
  <c r="C22" i="155"/>
  <c r="J21" i="155"/>
  <c r="F21" i="155"/>
  <c r="K21" i="155" s="1"/>
  <c r="J20" i="155"/>
  <c r="F20" i="155"/>
  <c r="J19" i="155"/>
  <c r="F19" i="155"/>
  <c r="K19" i="155" s="1"/>
  <c r="J18" i="155"/>
  <c r="F18" i="155"/>
  <c r="J17" i="155"/>
  <c r="L17" i="155" s="1"/>
  <c r="F17" i="155"/>
  <c r="K17" i="155" s="1"/>
  <c r="I16" i="155"/>
  <c r="H16" i="155"/>
  <c r="G16" i="155"/>
  <c r="E16" i="155"/>
  <c r="F16" i="155" s="1"/>
  <c r="D16" i="155"/>
  <c r="D30" i="155" s="1"/>
  <c r="C16" i="155"/>
  <c r="J15" i="155"/>
  <c r="F15" i="155"/>
  <c r="J13" i="155"/>
  <c r="F13" i="155"/>
  <c r="K13" i="155" s="1"/>
  <c r="J12" i="155"/>
  <c r="F12" i="155"/>
  <c r="J11" i="155"/>
  <c r="F11" i="155"/>
  <c r="K11" i="155" s="1"/>
  <c r="J10" i="155"/>
  <c r="F10" i="155"/>
  <c r="J9" i="155"/>
  <c r="F9" i="155"/>
  <c r="K9" i="155" s="1"/>
  <c r="J8" i="155"/>
  <c r="F8" i="155"/>
  <c r="I7" i="155"/>
  <c r="H7" i="155"/>
  <c r="H30" i="155" s="1"/>
  <c r="G7" i="155"/>
  <c r="E7" i="155"/>
  <c r="D7" i="155"/>
  <c r="C7" i="155"/>
  <c r="C30" i="155" s="1"/>
  <c r="F23" i="76"/>
  <c r="L23" i="155" s="1"/>
  <c r="D10" i="154"/>
  <c r="H102" i="150"/>
  <c r="G102" i="150"/>
  <c r="H101" i="150"/>
  <c r="G101" i="150"/>
  <c r="H100" i="150"/>
  <c r="G100" i="150"/>
  <c r="H98" i="150"/>
  <c r="G98" i="150"/>
  <c r="H97" i="150"/>
  <c r="G97" i="150"/>
  <c r="H96" i="150"/>
  <c r="G96" i="150"/>
  <c r="H95" i="150"/>
  <c r="G95" i="150"/>
  <c r="H94" i="150"/>
  <c r="G94" i="150"/>
  <c r="H93" i="150"/>
  <c r="G93" i="150"/>
  <c r="H92" i="150"/>
  <c r="G92" i="150"/>
  <c r="F91" i="150"/>
  <c r="H91" i="150" s="1"/>
  <c r="E91" i="150"/>
  <c r="G91" i="150" s="1"/>
  <c r="H90" i="150"/>
  <c r="G90" i="150"/>
  <c r="H89" i="150"/>
  <c r="G89" i="150"/>
  <c r="H87" i="150"/>
  <c r="G87" i="150"/>
  <c r="H86" i="150"/>
  <c r="G86" i="150"/>
  <c r="H85" i="150"/>
  <c r="G85" i="150"/>
  <c r="H84" i="150"/>
  <c r="G84" i="150"/>
  <c r="H83" i="150"/>
  <c r="G83" i="150"/>
  <c r="F82" i="150"/>
  <c r="E82" i="150"/>
  <c r="H81" i="150"/>
  <c r="G81" i="150"/>
  <c r="H79" i="150"/>
  <c r="G79" i="150"/>
  <c r="H78" i="150"/>
  <c r="G78" i="150"/>
  <c r="H77" i="150"/>
  <c r="G77" i="150"/>
  <c r="H76" i="150"/>
  <c r="G76" i="150"/>
  <c r="H75" i="150"/>
  <c r="G75" i="150"/>
  <c r="H73" i="150"/>
  <c r="G73" i="150"/>
  <c r="H72" i="150"/>
  <c r="G72" i="150"/>
  <c r="H71" i="150"/>
  <c r="G71" i="150"/>
  <c r="H70" i="150"/>
  <c r="G70" i="150"/>
  <c r="H69" i="150"/>
  <c r="G69" i="150"/>
  <c r="F68" i="150"/>
  <c r="E68" i="150"/>
  <c r="H67" i="150"/>
  <c r="G67" i="150"/>
  <c r="H66" i="150"/>
  <c r="G66" i="150"/>
  <c r="H65" i="150"/>
  <c r="G65" i="150"/>
  <c r="H64" i="150"/>
  <c r="G64" i="150"/>
  <c r="H63" i="150"/>
  <c r="G63" i="150"/>
  <c r="F62" i="150"/>
  <c r="H62" i="150" s="1"/>
  <c r="E62" i="150"/>
  <c r="E60" i="150" s="1"/>
  <c r="G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H44" i="150" s="1"/>
  <c r="E44" i="150"/>
  <c r="G44" i="150" s="1"/>
  <c r="H43" i="150"/>
  <c r="G43" i="150"/>
  <c r="H42" i="150"/>
  <c r="G42" i="150"/>
  <c r="H41" i="150"/>
  <c r="G41" i="150"/>
  <c r="F40" i="150"/>
  <c r="H40" i="150" s="1"/>
  <c r="E40" i="150"/>
  <c r="G40" i="150" s="1"/>
  <c r="H39" i="150"/>
  <c r="G39" i="150"/>
  <c r="H38" i="150"/>
  <c r="G38" i="150"/>
  <c r="H37" i="150"/>
  <c r="G37" i="150"/>
  <c r="H36" i="150"/>
  <c r="G36" i="150"/>
  <c r="H35" i="150"/>
  <c r="G35" i="150"/>
  <c r="H34" i="150"/>
  <c r="G34" i="150"/>
  <c r="H33" i="150"/>
  <c r="G33" i="150"/>
  <c r="F32" i="150"/>
  <c r="H32" i="150" s="1"/>
  <c r="E32" i="150"/>
  <c r="G32" i="150" s="1"/>
  <c r="H31" i="150"/>
  <c r="G31" i="150"/>
  <c r="H30" i="150"/>
  <c r="G30" i="150"/>
  <c r="H29" i="150"/>
  <c r="G29" i="150"/>
  <c r="H28" i="150"/>
  <c r="G28" i="150"/>
  <c r="F27" i="150"/>
  <c r="H27" i="150" s="1"/>
  <c r="E27" i="150"/>
  <c r="G27" i="150" s="1"/>
  <c r="H25" i="150"/>
  <c r="G25" i="150"/>
  <c r="H24" i="150"/>
  <c r="G24" i="150"/>
  <c r="H23" i="150"/>
  <c r="G23" i="150"/>
  <c r="H22" i="150"/>
  <c r="G22" i="150"/>
  <c r="H21" i="150"/>
  <c r="G21" i="150"/>
  <c r="H20" i="150"/>
  <c r="G20" i="150"/>
  <c r="F19" i="150"/>
  <c r="H19" i="150" s="1"/>
  <c r="E19" i="150"/>
  <c r="G19" i="150" s="1"/>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5" i="150" s="1"/>
  <c r="A76" i="150" s="1"/>
  <c r="A77" i="150" s="1"/>
  <c r="A78" i="150" s="1"/>
  <c r="A79" i="150" s="1"/>
  <c r="A80" i="150" s="1"/>
  <c r="A81" i="150" s="1"/>
  <c r="A82" i="150" s="1"/>
  <c r="A83" i="150" s="1"/>
  <c r="A84" i="150" s="1"/>
  <c r="A85" i="150" s="1"/>
  <c r="A86" i="150" s="1"/>
  <c r="A87" i="150" s="1"/>
  <c r="A89" i="150" s="1"/>
  <c r="A90" i="150" s="1"/>
  <c r="A91" i="150" s="1"/>
  <c r="A92" i="150" s="1"/>
  <c r="A93" i="150" s="1"/>
  <c r="A95" i="150" s="1"/>
  <c r="A96" i="150" s="1"/>
  <c r="A97" i="150" s="1"/>
  <c r="A98" i="150" s="1"/>
  <c r="A99" i="150" s="1"/>
  <c r="A100" i="150" s="1"/>
  <c r="A101" i="150" s="1"/>
  <c r="A102" i="150" s="1"/>
  <c r="A103" i="150" s="1"/>
  <c r="F6" i="150"/>
  <c r="H6" i="150" s="1"/>
  <c r="E6" i="150"/>
  <c r="G6" i="150" s="1"/>
  <c r="C12" i="146"/>
  <c r="D10" i="146" s="1"/>
  <c r="D21" i="146"/>
  <c r="N15" i="145"/>
  <c r="M15" i="145"/>
  <c r="M18" i="145"/>
  <c r="N18" i="145"/>
  <c r="N16" i="145"/>
  <c r="M16" i="145"/>
  <c r="N12" i="145"/>
  <c r="M12" i="145"/>
  <c r="N11" i="145"/>
  <c r="M11" i="145"/>
  <c r="M8" i="145"/>
  <c r="N8" i="145"/>
  <c r="M6" i="145"/>
  <c r="C17" i="146"/>
  <c r="H20" i="142"/>
  <c r="H7" i="145"/>
  <c r="G7" i="145"/>
  <c r="G17" i="145" s="1"/>
  <c r="H6" i="145" s="1"/>
  <c r="C21" i="146"/>
  <c r="C6" i="146"/>
  <c r="A6" i="146"/>
  <c r="A7" i="146"/>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I17" i="145" s="1"/>
  <c r="J6" i="145" s="1"/>
  <c r="F7" i="145"/>
  <c r="F6" i="145"/>
  <c r="D7" i="145"/>
  <c r="D6" i="145"/>
  <c r="F40" i="134"/>
  <c r="I21" i="91"/>
  <c r="I20" i="91"/>
  <c r="I19" i="91"/>
  <c r="I18" i="91"/>
  <c r="I17" i="91"/>
  <c r="I9" i="91"/>
  <c r="I8" i="91"/>
  <c r="I6" i="91"/>
  <c r="G6" i="97"/>
  <c r="G21" i="142"/>
  <c r="G11"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J23" i="76"/>
  <c r="J22" i="76" s="1"/>
  <c r="J24" i="76"/>
  <c r="J25" i="76"/>
  <c r="J26" i="76"/>
  <c r="F24" i="76"/>
  <c r="L24" i="155" s="1"/>
  <c r="K24" i="76"/>
  <c r="F25" i="76"/>
  <c r="K25" i="76" s="1"/>
  <c r="F26" i="76"/>
  <c r="K26" i="76" s="1"/>
  <c r="L26" i="155"/>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C6" i="61"/>
  <c r="D6" i="61"/>
  <c r="A7" i="61"/>
  <c r="A8" i="61"/>
  <c r="A9" i="61" s="1"/>
  <c r="A10" i="61" s="1"/>
  <c r="E7" i="61"/>
  <c r="E8" i="61"/>
  <c r="E10" i="61"/>
  <c r="E12" i="61"/>
  <c r="E13" i="61"/>
  <c r="C15" i="61"/>
  <c r="D15" i="61"/>
  <c r="E16" i="61"/>
  <c r="A7" i="90"/>
  <c r="A8" i="90" s="1"/>
  <c r="A9" i="90" s="1"/>
  <c r="A10" i="90" s="1"/>
  <c r="A11" i="90" s="1"/>
  <c r="A12" i="90" s="1"/>
  <c r="A13" i="90" s="1"/>
  <c r="A14" i="90" s="1"/>
  <c r="A15" i="90" s="1"/>
  <c r="A17" i="90" s="1"/>
  <c r="A18" i="90" s="1"/>
  <c r="A19" i="90" s="1"/>
  <c r="A20" i="90" s="1"/>
  <c r="D7" i="90"/>
  <c r="A7" i="116"/>
  <c r="E8" i="116"/>
  <c r="C18" i="116"/>
  <c r="F8" i="116"/>
  <c r="D18" i="116" s="1"/>
  <c r="A9" i="116"/>
  <c r="A10" i="116"/>
  <c r="A11" i="116"/>
  <c r="A12" i="116" s="1"/>
  <c r="A13" i="116" s="1"/>
  <c r="A14" i="116" s="1"/>
  <c r="A15" i="116" s="1"/>
  <c r="A16" i="116" s="1"/>
  <c r="A17" i="116" s="1"/>
  <c r="A18" i="116" s="1"/>
  <c r="C13" i="116"/>
  <c r="C17" i="116" s="1"/>
  <c r="D13" i="116"/>
  <c r="D14" i="116"/>
  <c r="A7" i="109"/>
  <c r="A8" i="109"/>
  <c r="A9" i="109"/>
  <c r="A10" i="109" s="1"/>
  <c r="E9" i="109"/>
  <c r="E11" i="109" s="1"/>
  <c r="C12" i="109"/>
  <c r="E12" i="109"/>
  <c r="C7" i="76"/>
  <c r="D7" i="76"/>
  <c r="D30" i="76" s="1"/>
  <c r="E7" i="76"/>
  <c r="G7" i="76"/>
  <c r="G16" i="76"/>
  <c r="H7" i="76"/>
  <c r="H30" i="76" s="1"/>
  <c r="I7" i="76"/>
  <c r="F8" i="76"/>
  <c r="J8" i="76"/>
  <c r="F9" i="76"/>
  <c r="J9" i="76"/>
  <c r="K9" i="76" s="1"/>
  <c r="F10" i="76"/>
  <c r="J10" i="76"/>
  <c r="F11" i="76"/>
  <c r="J11" i="76"/>
  <c r="F12" i="76"/>
  <c r="J12" i="76"/>
  <c r="F13" i="76"/>
  <c r="J13" i="76"/>
  <c r="F15" i="76"/>
  <c r="J15" i="76"/>
  <c r="C16" i="76"/>
  <c r="E16" i="76"/>
  <c r="D16" i="76"/>
  <c r="H16" i="76"/>
  <c r="I16" i="76"/>
  <c r="I30" i="76" s="1"/>
  <c r="F17" i="76"/>
  <c r="J17" i="76"/>
  <c r="F18" i="76"/>
  <c r="J18" i="76"/>
  <c r="K18" i="76" s="1"/>
  <c r="F19" i="76"/>
  <c r="L19" i="155" s="1"/>
  <c r="J19" i="76"/>
  <c r="F20" i="76"/>
  <c r="J20" i="76"/>
  <c r="F21" i="76"/>
  <c r="L21" i="155" s="1"/>
  <c r="J21" i="76"/>
  <c r="C22" i="76"/>
  <c r="D22" i="76"/>
  <c r="E22" i="76"/>
  <c r="G22" i="76"/>
  <c r="H22" i="76"/>
  <c r="I22" i="76"/>
  <c r="F27" i="76"/>
  <c r="F22" i="76"/>
  <c r="K22" i="76" s="1"/>
  <c r="F28" i="76"/>
  <c r="J28" i="76"/>
  <c r="F29" i="76"/>
  <c r="J29" i="76"/>
  <c r="K29" i="76" s="1"/>
  <c r="C5" i="23"/>
  <c r="D5" i="23"/>
  <c r="D19" i="23" s="1"/>
  <c r="A6" i="23"/>
  <c r="A7" i="23"/>
  <c r="A8" i="23"/>
  <c r="A9" i="23"/>
  <c r="A10" i="23" s="1"/>
  <c r="A11" i="23" s="1"/>
  <c r="A12" i="23" s="1"/>
  <c r="A13" i="23" s="1"/>
  <c r="A14" i="23" s="1"/>
  <c r="A15" i="23" s="1"/>
  <c r="A16" i="23" s="1"/>
  <c r="A17" i="23" s="1"/>
  <c r="A18" i="23" s="1"/>
  <c r="A19" i="23" s="1"/>
  <c r="C13" i="23"/>
  <c r="E13" i="23" s="1"/>
  <c r="D13" i="23"/>
  <c r="C15" i="23"/>
  <c r="D15" i="23"/>
  <c r="F60" i="150"/>
  <c r="H60" i="150" s="1"/>
  <c r="G6" i="142"/>
  <c r="C18" i="61"/>
  <c r="H55" i="142"/>
  <c r="G25" i="142"/>
  <c r="L9" i="155"/>
  <c r="L22" i="155"/>
  <c r="G68" i="150"/>
  <c r="C30" i="76"/>
  <c r="K21" i="76"/>
  <c r="L25" i="155"/>
  <c r="C9" i="146"/>
  <c r="C5" i="146" s="1"/>
  <c r="C16" i="146" s="1"/>
  <c r="G30" i="76"/>
  <c r="J7" i="76"/>
  <c r="H6" i="142"/>
  <c r="C70" i="142"/>
  <c r="H68" i="150"/>
  <c r="D104" i="150"/>
  <c r="F80" i="150" l="1"/>
  <c r="H80" i="150" s="1"/>
  <c r="E41" i="162"/>
  <c r="E44" i="162"/>
  <c r="E7" i="23"/>
  <c r="D17" i="145"/>
  <c r="J17" i="145"/>
  <c r="K18" i="155"/>
  <c r="G30" i="155"/>
  <c r="J7" i="155"/>
  <c r="K28" i="155"/>
  <c r="K20" i="155"/>
  <c r="K15" i="155"/>
  <c r="I30" i="155"/>
  <c r="K8" i="155"/>
  <c r="K10" i="155"/>
  <c r="K12" i="155"/>
  <c r="E30" i="155"/>
  <c r="F7" i="155"/>
  <c r="L28" i="155"/>
  <c r="L29" i="155"/>
  <c r="L18" i="155"/>
  <c r="J16" i="76"/>
  <c r="K16" i="76" s="1"/>
  <c r="L20" i="155"/>
  <c r="K17" i="76"/>
  <c r="K15" i="76"/>
  <c r="K10" i="76"/>
  <c r="L8" i="155"/>
  <c r="L12" i="155"/>
  <c r="L13" i="155"/>
  <c r="K11" i="76"/>
  <c r="F16" i="76"/>
  <c r="K19" i="76"/>
  <c r="K20" i="76"/>
  <c r="E30" i="76"/>
  <c r="K8" i="76"/>
  <c r="K13" i="76"/>
  <c r="L10" i="155"/>
  <c r="F7" i="76"/>
  <c r="K7" i="76" s="1"/>
  <c r="D12" i="146"/>
  <c r="D9" i="146" s="1"/>
  <c r="D5" i="146" s="1"/>
  <c r="D17" i="116"/>
  <c r="E15" i="61"/>
  <c r="D18" i="61"/>
  <c r="E6" i="61"/>
  <c r="E18" i="61" s="1"/>
  <c r="D6" i="144"/>
  <c r="E15" i="23"/>
  <c r="C19" i="23"/>
  <c r="E80" i="150"/>
  <c r="G80" i="150" s="1"/>
  <c r="G82" i="150"/>
  <c r="L7" i="155"/>
  <c r="F30" i="155"/>
  <c r="J30" i="76"/>
  <c r="K28" i="76"/>
  <c r="K12" i="76"/>
  <c r="L15" i="155"/>
  <c r="J16" i="155"/>
  <c r="E70" i="142"/>
  <c r="L11" i="155"/>
  <c r="E5" i="23"/>
  <c r="D14" i="90"/>
  <c r="D20" i="90" s="1"/>
  <c r="N7" i="145"/>
  <c r="K23" i="76"/>
  <c r="C6" i="144"/>
  <c r="F42" i="134"/>
  <c r="F41" i="162" s="1"/>
  <c r="F6" i="144"/>
  <c r="M6" i="97"/>
  <c r="L17" i="145"/>
  <c r="M7" i="145"/>
  <c r="M17" i="145"/>
  <c r="H17" i="145"/>
  <c r="N6" i="145"/>
  <c r="F17" i="145"/>
  <c r="I23" i="91"/>
  <c r="I10" i="91"/>
  <c r="H82" i="150"/>
  <c r="F103" i="150"/>
  <c r="H103" i="150" s="1"/>
  <c r="G62" i="150"/>
  <c r="D71" i="142"/>
  <c r="F70" i="142"/>
  <c r="H70" i="142" s="1"/>
  <c r="J30" i="155" l="1"/>
  <c r="K7" i="155"/>
  <c r="K30" i="155"/>
  <c r="L16" i="155"/>
  <c r="K16" i="155"/>
  <c r="F30" i="76"/>
  <c r="E19" i="23"/>
  <c r="E103" i="150"/>
  <c r="L30" i="155"/>
  <c r="K30" i="76"/>
  <c r="N17" i="145"/>
  <c r="F71" i="142"/>
  <c r="G70" i="142"/>
  <c r="G103" i="150" l="1"/>
  <c r="F104" i="150"/>
</calcChain>
</file>

<file path=xl/comments1.xml><?xml version="1.0" encoding="utf-8"?>
<comments xmlns="http://schemas.openxmlformats.org/spreadsheetml/2006/main">
  <authors>
    <author>Ing. Gondárová Beata</author>
  </authors>
  <commentList>
    <comment ref="I83" authorId="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<sst xmlns="http://schemas.openxmlformats.org/spreadsheetml/2006/main" count="1802" uniqueCount="1298">
  <si>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</si>
  <si>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</si>
  <si>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</si>
  <si>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</si>
  <si>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</si>
  <si>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</si>
  <si>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</si>
  <si>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</si>
  <si>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</si>
  <si>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</si>
  <si>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</si>
  <si>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</si>
  <si>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</si>
  <si>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</si>
  <si>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</si>
  <si>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</si>
  <si>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</si>
  <si>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</si>
  <si>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</si>
  <si>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</si>
  <si>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</si>
  <si>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</si>
  <si>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</si>
  <si>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</si>
  <si>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</si>
  <si>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</si>
  <si>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</si>
  <si>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</si>
  <si>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</si>
  <si>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</si>
  <si>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</si>
  <si>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</si>
  <si>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</si>
  <si>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</si>
  <si>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</si>
  <si>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</si>
  <si>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</si>
  <si>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</si>
  <si>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</si>
  <si>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</si>
  <si>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</si>
  <si>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</si>
  <si>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</si>
  <si>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</si>
  <si>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</si>
  <si>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</si>
  <si>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</si>
  <si>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</si>
  <si>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</si>
  <si>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</si>
  <si>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</si>
  <si>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</si>
  <si>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</si>
  <si>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</si>
  <si>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</si>
  <si>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</si>
  <si>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</si>
  <si>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</si>
  <si>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</si>
  <si>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</si>
  <si>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</si>
  <si>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</si>
  <si>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</si>
  <si>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</si>
  <si>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</si>
  <si>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</si>
  <si>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</si>
  <si>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</si>
  <si>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</si>
  <si>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</si>
  <si>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</si>
  <si>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</si>
  <si>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</si>
  <si>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</si>
  <si>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</si>
  <si>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</si>
  <si>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</si>
  <si>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</si>
  <si>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</si>
  <si>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</si>
  <si>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</si>
  <si>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</si>
  <si>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</si>
  <si>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</si>
  <si>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</si>
  <si>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</si>
  <si>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</si>
  <si>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</si>
  <si>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</si>
  <si>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</si>
  <si>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</si>
  <si>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</si>
  <si>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</si>
  <si>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</si>
  <si>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</si>
  <si>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</si>
  <si>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</si>
  <si>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</si>
  <si>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</si>
  <si>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</si>
  <si>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</si>
  <si>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</si>
  <si>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</si>
  <si>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</si>
  <si>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</si>
  <si>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</si>
  <si>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</si>
  <si>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</si>
  <si>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</si>
  <si>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</si>
  <si>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</si>
  <si>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</si>
  <si>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</si>
  <si>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</si>
  <si>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</si>
  <si>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</si>
  <si>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</si>
  <si>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</si>
  <si>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</si>
  <si>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</si>
  <si>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</si>
  <si>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</si>
  <si>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</si>
  <si>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</si>
  <si>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</si>
  <si>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</si>
  <si>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</si>
  <si>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</si>
  <si>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</si>
  <si>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</si>
  <si>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</si>
  <si>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</si>
  <si>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</si>
  <si>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</si>
  <si>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</si>
  <si>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</si>
  <si>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</si>
  <si>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</si>
  <si>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</si>
  <si>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</si>
  <si>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</si>
  <si>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</si>
  <si>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</si>
  <si>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</si>
  <si>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</si>
  <si>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</si>
  <si>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</si>
  <si>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</si>
  <si>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</si>
  <si>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</si>
  <si>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</si>
  <si>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</si>
  <si>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</si>
  <si>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</si>
  <si>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</si>
  <si>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</si>
  <si>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</si>
  <si>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</si>
  <si>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</si>
  <si>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</si>
  <si>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</si>
  <si>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</si>
  <si>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</si>
  <si>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</si>
  <si>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</si>
  <si>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</si>
  <si>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</si>
  <si>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</si>
  <si>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</si>
  <si>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</si>
  <si>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</si>
  <si>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</si>
  <si>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</si>
  <si>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</si>
  <si>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</si>
  <si>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</si>
  <si>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</si>
  <si>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</si>
  <si>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</si>
  <si>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</si>
  <si>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</si>
  <si>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</si>
  <si>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</si>
  <si>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</si>
  <si>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</si>
  <si>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</si>
  <si>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</si>
  <si>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</si>
  <si>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</si>
  <si>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</si>
  <si>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</si>
  <si>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</si>
  <si>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</si>
  <si>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</si>
  <si>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</si>
  <si>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</si>
  <si>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</si>
  <si>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</si>
  <si>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</si>
  <si>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</si>
  <si>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</si>
  <si>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</si>
  <si>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</si>
  <si>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</si>
  <si>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</si>
  <si>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</si>
  <si>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</si>
  <si>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</si>
  <si>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</si>
  <si>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</si>
  <si>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</si>
  <si>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</si>
  <si>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</si>
  <si>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</si>
  <si>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</si>
  <si>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</si>
  <si>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</si>
  <si>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</si>
  <si>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</si>
  <si>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</si>
  <si>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</si>
  <si>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</si>
  <si>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</si>
  <si>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</si>
  <si>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</si>
  <si>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</si>
  <si>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</si>
  <si>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</si>
  <si>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</si>
  <si>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</si>
  <si>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</si>
  <si>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</si>
  <si>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</si>
  <si>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</si>
  <si>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</si>
  <si>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</si>
  <si>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</si>
  <si>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</si>
  <si>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</si>
  <si>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</si>
  <si>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</si>
  <si>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</si>
  <si>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</si>
  <si>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</si>
  <si>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</si>
  <si>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</si>
  <si>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</si>
  <si>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</si>
  <si>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</si>
  <si>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</si>
  <si>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</si>
  <si>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</si>
  <si>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</si>
  <si>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</si>
  <si>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</si>
  <si>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</si>
  <si>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</si>
  <si>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</si>
  <si>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</si>
  <si>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</si>
  <si>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</si>
  <si>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</si>
  <si>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</si>
  <si>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</si>
  <si>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</si>
  <si>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</si>
  <si>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</si>
  <si>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</si>
  <si>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</si>
  <si>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</si>
  <si>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</si>
  <si>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</si>
  <si>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</si>
  <si>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</si>
  <si>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</si>
  <si>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</si>
  <si>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</si>
  <si>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</si>
  <si>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</si>
  <si>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</si>
  <si>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</si>
  <si>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</si>
  <si>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</si>
  <si>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</si>
  <si>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</si>
  <si>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</si>
  <si>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</si>
  <si>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</si>
  <si>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</si>
  <si>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</si>
  <si>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</si>
  <si>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</si>
  <si>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</si>
  <si>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</si>
  <si>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</si>
  <si>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</si>
  <si>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</si>
  <si>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</si>
  <si>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</si>
  <si>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</si>
  <si>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</si>
  <si>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</si>
  <si>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</si>
  <si>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</si>
  <si>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</si>
  <si>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</si>
  <si>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</si>
  <si>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</si>
  <si>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</si>
  <si>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</si>
  <si>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</si>
  <si>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</si>
  <si>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</si>
  <si>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</si>
  <si>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</si>
  <si>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</si>
  <si>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</si>
  <si>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</si>
  <si>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</si>
  <si>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</si>
  <si>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</si>
  <si>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</si>
  <si>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</si>
  <si>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</si>
  <si>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</si>
  <si>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</si>
  <si>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</si>
  <si>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</si>
  <si>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</si>
  <si>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</si>
  <si>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</si>
  <si>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</si>
  <si>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</si>
  <si>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</si>
  <si>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</si>
  <si>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</si>
  <si>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</si>
  <si>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</si>
  <si>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</si>
  <si>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</si>
  <si>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</si>
  <si>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</si>
  <si>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</si>
  <si>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</si>
  <si>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</si>
  <si>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</si>
  <si>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</si>
  <si>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</si>
  <si>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</si>
  <si>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</si>
  <si>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</si>
  <si>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</si>
  <si>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</si>
  <si>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</si>
  <si>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</si>
  <si>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</si>
  <si>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</si>
  <si>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</si>
  <si>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</si>
  <si>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</si>
  <si>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</si>
  <si>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</si>
  <si>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</si>
  <si>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</si>
  <si>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</si>
  <si>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</si>
  <si>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</si>
  <si>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</si>
  <si>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</si>
  <si>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</si>
  <si>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</si>
  <si>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T10_R10</t>
  </si>
  <si>
    <t>bez zmien</t>
  </si>
  <si>
    <t>Názov verejnej vysokej školy:
Názov fakulty:</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</si>
  <si>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</si>
  <si>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</si>
  <si>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</si>
  <si>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</si>
  <si>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</si>
  <si>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</si>
  <si>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</si>
  <si>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</si>
  <si>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</si>
  <si>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</si>
  <si>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</si>
  <si>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</si>
  <si>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</si>
  <si>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</si>
  <si>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</si>
  <si>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</si>
  <si>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</si>
  <si>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</si>
  <si>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</si>
  <si>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</si>
  <si>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</si>
  <si>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</si>
  <si>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</si>
  <si>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</si>
  <si>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</si>
  <si>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</si>
  <si>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</si>
  <si>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</si>
  <si>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</si>
  <si>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</si>
  <si>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</si>
  <si>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</si>
  <si>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</si>
  <si>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</si>
  <si>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</si>
  <si>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</si>
  <si>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</si>
  <si>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</si>
  <si>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</si>
  <si>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</si>
  <si>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</si>
  <si>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</si>
  <si>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</si>
  <si>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</si>
  <si>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</si>
  <si>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</si>
  <si>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</si>
  <si>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</si>
  <si>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</si>
  <si>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</si>
  <si>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</si>
  <si>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</si>
  <si>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</si>
  <si>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</si>
  <si>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</si>
  <si>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</si>
  <si>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</si>
  <si>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</si>
  <si>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</si>
  <si>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</si>
  <si>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</si>
  <si>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</si>
  <si>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</si>
  <si>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</si>
  <si>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</si>
  <si>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</si>
  <si>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</si>
  <si>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</si>
  <si>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</si>
  <si>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</si>
  <si>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</si>
  <si>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</si>
  <si>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</si>
  <si>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</si>
  <si>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</si>
  <si>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</si>
  <si>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</si>
  <si>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</si>
  <si>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</si>
  <si>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</si>
  <si>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</si>
  <si>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</si>
  <si>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</si>
  <si>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</si>
  <si>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</si>
  <si>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</si>
  <si>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</si>
  <si>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</si>
  <si>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</si>
  <si>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</si>
  <si>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</si>
  <si>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</si>
  <si>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</si>
  <si>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</si>
  <si>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</si>
  <si>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</si>
  <si>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</si>
  <si>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</si>
  <si>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</si>
  <si>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</si>
  <si>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</si>
  <si>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</si>
  <si>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</si>
  <si>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</si>
  <si>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</si>
  <si>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</si>
  <si>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</si>
  <si>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</si>
  <si>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</si>
  <si>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</si>
  <si>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</si>
  <si>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</si>
  <si>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</si>
  <si>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</si>
  <si>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</si>
  <si>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</si>
  <si>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</si>
  <si>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</si>
  <si>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</si>
  <si>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</si>
  <si>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</si>
  <si>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</si>
  <si>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</si>
  <si>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</si>
  <si>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</si>
  <si>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</si>
  <si>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</si>
  <si>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</si>
  <si>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</si>
  <si>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</si>
  <si>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</si>
  <si>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</si>
  <si>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</si>
  <si>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</si>
  <si>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</si>
  <si>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</si>
  <si>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</si>
  <si>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</si>
  <si>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</si>
  <si>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</si>
  <si>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</si>
  <si>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</si>
  <si>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</si>
  <si>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</si>
  <si>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</si>
  <si>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</si>
  <si>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</si>
  <si>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</si>
  <si>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</si>
  <si>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</si>
  <si>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</si>
  <si>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</si>
  <si>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</si>
  <si>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</si>
  <si>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</si>
  <si>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</si>
  <si>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</si>
  <si>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</si>
  <si>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</si>
  <si>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</si>
  <si>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</si>
  <si>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</si>
  <si>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</si>
  <si>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</si>
  <si>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</si>
  <si>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</si>
  <si>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</si>
  <si>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</si>
  <si>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</si>
  <si>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</si>
  <si>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</si>
  <si>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</si>
  <si>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</si>
  <si>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</si>
  <si>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</si>
  <si>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</si>
  <si>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</si>
  <si>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</si>
  <si>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</si>
  <si>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</si>
  <si>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</si>
  <si>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</si>
  <si>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</si>
  <si>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</si>
  <si>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</si>
  <si>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</si>
  <si>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</si>
  <si>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</si>
  <si>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</si>
  <si>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</si>
  <si>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</si>
  <si>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</si>
  <si>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</si>
  <si>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</si>
  <si>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</si>
  <si>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</si>
  <si>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</si>
  <si>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</si>
  <si>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</si>
  <si>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</si>
  <si>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</si>
  <si>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</si>
  <si>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</si>
  <si>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</si>
  <si>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</si>
  <si>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</si>
  <si>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</si>
  <si>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</si>
  <si>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</si>
  <si>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</si>
  <si>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</si>
  <si>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</si>
  <si>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</si>
  <si>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</si>
  <si>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</si>
  <si>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</si>
  <si>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</si>
  <si>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</si>
  <si>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</si>
  <si>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</si>
  <si>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</si>
  <si>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</si>
  <si>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</si>
  <si>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</si>
  <si>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</si>
  <si>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</si>
  <si>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</si>
  <si>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</si>
  <si>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</si>
  <si>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</si>
  <si>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</si>
  <si>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</si>
  <si>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</si>
  <si>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</si>
  <si>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</si>
  <si>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</si>
  <si>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</si>
  <si>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</si>
  <si>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</si>
  <si>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</si>
  <si>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</si>
  <si>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</si>
  <si>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</si>
  <si>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</si>
  <si>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</si>
  <si>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</si>
  <si>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</si>
  <si>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</si>
  <si>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</si>
  <si>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</si>
  <si>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</si>
  <si>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</si>
  <si>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</si>
  <si>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</si>
  <si>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</si>
  <si>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</si>
  <si>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</si>
  <si>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</si>
  <si>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</si>
  <si>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</si>
  <si>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</si>
  <si>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</si>
  <si>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</si>
  <si>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</si>
  <si>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</si>
  <si>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</si>
  <si>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</si>
  <si>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</si>
  <si>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</si>
  <si>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</si>
  <si>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</si>
  <si>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</si>
  <si>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</si>
  <si>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</si>
  <si>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</si>
  <si>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</si>
  <si>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</si>
  <si>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</si>
  <si>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</si>
  <si>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</si>
  <si>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</si>
  <si>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</si>
  <si>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</si>
  <si>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</si>
  <si>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</si>
  <si>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</si>
  <si>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</si>
  <si>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</si>
  <si>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</si>
  <si>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</si>
  <si>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</si>
  <si>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</si>
  <si>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</si>
  <si>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</si>
  <si>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</si>
  <si>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</si>
  <si>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</si>
  <si>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</si>
  <si>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</si>
  <si>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</si>
  <si>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</si>
  <si>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</si>
  <si>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</si>
  <si>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</si>
  <si>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</si>
  <si>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</si>
  <si>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</si>
  <si>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</si>
  <si>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</si>
  <si>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</si>
  <si>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</si>
  <si>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</si>
  <si>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</si>
  <si>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</si>
  <si>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</si>
  <si>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</si>
  <si>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</si>
  <si>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</si>
  <si>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</si>
  <si>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</si>
  <si>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</si>
  <si>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</si>
  <si>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</si>
  <si>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</si>
  <si>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</si>
  <si>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</si>
  <si>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</si>
  <si>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</si>
  <si>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</si>
  <si>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</si>
  <si>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</si>
  <si>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</si>
  <si>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</si>
  <si>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</si>
  <si>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</si>
  <si>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</si>
  <si>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</si>
  <si>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</si>
  <si>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</si>
  <si>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</si>
  <si>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</si>
  <si>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</si>
  <si>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</si>
  <si>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</si>
  <si>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</si>
  <si>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</si>
  <si>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</si>
  <si>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</si>
  <si>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</si>
  <si>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</si>
  <si>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</si>
  <si>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</si>
  <si>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</si>
  <si>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</si>
  <si>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</si>
  <si>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</si>
  <si>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</si>
  <si>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</si>
  <si>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</si>
  <si>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</si>
  <si>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</si>
  <si>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</si>
  <si>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</si>
  <si>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</si>
  <si>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</si>
  <si>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</si>
  <si>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</si>
  <si>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</si>
  <si>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</si>
  <si>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</si>
  <si>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</si>
  <si>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</si>
  <si>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</si>
  <si>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</si>
  <si>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</si>
  <si>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</si>
  <si>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</si>
  <si>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</si>
  <si>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</si>
  <si>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</si>
  <si>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</si>
  <si>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</si>
  <si>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</si>
  <si>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</si>
  <si>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</si>
  <si>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</si>
  <si>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</si>
  <si>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</si>
  <si>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</si>
  <si>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</si>
  <si>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</si>
  <si>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</si>
  <si>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</si>
  <si>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</si>
  <si>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</si>
  <si>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</si>
  <si>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</si>
  <si>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</si>
  <si>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</si>
  <si>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</si>
  <si>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</si>
  <si>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</si>
  <si>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</si>
  <si>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</si>
  <si>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</si>
  <si>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</si>
  <si>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</si>
  <si>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</si>
  <si>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</si>
  <si>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</si>
  <si>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</si>
  <si>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</si>
  <si>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</si>
  <si>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</si>
  <si>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</si>
  <si>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</si>
  <si>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</si>
  <si>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</si>
  <si>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</si>
  <si>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</si>
  <si>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</si>
  <si>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</si>
  <si>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</si>
  <si>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</si>
  <si>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</si>
  <si>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</si>
  <si>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</si>
  <si>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</si>
  <si>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</si>
  <si>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</si>
  <si>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</si>
  <si>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</si>
  <si>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</si>
  <si>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</si>
  <si>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</si>
  <si>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</si>
  <si>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</si>
  <si>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</si>
  <si>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</si>
  <si>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</si>
  <si>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</si>
  <si>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</si>
  <si>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</si>
  <si>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</si>
  <si>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</si>
  <si>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</si>
  <si>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</si>
  <si>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</si>
  <si>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</si>
  <si>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</si>
  <si>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</si>
  <si>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</si>
  <si>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</si>
  <si>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</si>
  <si>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</si>
  <si>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</si>
  <si>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</si>
  <si>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</si>
  <si>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</si>
  <si>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</si>
  <si>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</si>
  <si>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</si>
  <si>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</si>
  <si>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</si>
  <si>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</si>
  <si>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</si>
  <si>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</si>
  <si>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</si>
  <si>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</si>
  <si>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</si>
  <si>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</si>
  <si>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</si>
  <si>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</si>
  <si>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</si>
  <si>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</si>
  <si>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</si>
  <si>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</si>
  <si>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</si>
  <si>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</si>
  <si>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</si>
  <si>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</si>
  <si>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</si>
  <si>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</si>
  <si>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</si>
  <si>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</si>
  <si>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</si>
  <si>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</si>
  <si>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</si>
  <si>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</si>
  <si>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</si>
  <si>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</si>
  <si>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</si>
  <si>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</si>
  <si>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</si>
  <si>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</si>
  <si>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</si>
  <si>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</si>
  <si>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</si>
  <si>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</si>
  <si>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</si>
  <si>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</si>
  <si>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</si>
  <si>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</si>
  <si>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</si>
  <si>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</si>
  <si>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</si>
  <si>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</si>
  <si>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</si>
  <si>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</si>
  <si>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</si>
  <si>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</si>
  <si>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</si>
  <si>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</si>
  <si>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</si>
  <si>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</si>
  <si>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</si>
  <si>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</si>
  <si>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</si>
  <si>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</si>
  <si>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</si>
  <si>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</si>
  <si>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</si>
  <si>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</si>
  <si>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</si>
  <si>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</si>
  <si>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</si>
  <si>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</si>
  <si>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</si>
  <si>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</si>
  <si>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</si>
  <si>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</si>
  <si>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</si>
  <si>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</si>
  <si>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</si>
  <si>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</si>
  <si>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</si>
  <si>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</si>
  <si>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</si>
  <si>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</si>
  <si>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</si>
  <si>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</si>
  <si>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</si>
  <si>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</si>
  <si>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</si>
  <si>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</si>
  <si>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</si>
  <si>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</si>
  <si>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</si>
  <si>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</si>
  <si>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</si>
  <si>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</si>
  <si>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</si>
  <si>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</si>
  <si>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</si>
  <si>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</si>
  <si>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</si>
  <si>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</si>
  <si>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</si>
  <si>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</si>
  <si>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</si>
  <si>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</si>
  <si>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</si>
  <si>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</si>
  <si>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</si>
  <si>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</si>
  <si>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</si>
  <si>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iné analyticky sledované náklady (účty 501 005-006, 501 013-018, 501 019, 501 077, 501 515)</t>
  </si>
  <si>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</si>
  <si>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</si>
  <si>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</si>
  <si>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</si>
  <si>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</si>
  <si>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</si>
  <si>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</si>
  <si>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</si>
  <si>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</si>
  <si>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</si>
  <si>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</si>
  <si>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Stav k 31. 12. 2018</t>
  </si>
  <si>
    <t>Náklady
hlavnej činnosti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</si>
  <si>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</si>
  <si>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</si>
  <si>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</si>
  <si>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</si>
  <si>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</si>
  <si>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</si>
  <si>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</si>
  <si>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</si>
  <si>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</si>
  <si>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</si>
  <si>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</si>
  <si>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</si>
  <si>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</si>
  <si>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</si>
  <si>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</si>
  <si>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</si>
  <si>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t xml:space="preserve"> - MZDY (účty 521 001-008, 521 012, 521 013, 581 003)</t>
  </si>
  <si>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</si>
  <si>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</si>
  <si>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 xml:space="preserve">Spolu </t>
    </r>
    <r>
      <rPr>
        <sz val="12"/>
        <color theme="1"/>
        <rFont val="Times New Roman"/>
        <family val="1"/>
      </rPr>
      <t>[R1+R14+R21+R22+R27+R35+R38+R39+R55+SUM (R61:R63) +SUM (R70:R74)+R84+R93+R94]</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</si>
  <si>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</si>
  <si>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</si>
  <si>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</si>
  <si>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</si>
  <si>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</si>
  <si>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</si>
  <si>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</si>
  <si>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</si>
  <si>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</si>
  <si>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</si>
  <si>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</si>
  <si>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výnosy  účtu 648 (648 007-8, 648 009, 648 016, 648 019, 648 022, 648 099)</t>
  </si>
  <si>
    <t>- ostatné výnosy (účty 649 007, 649 012, 649 021, 649 098, 649 099)</t>
  </si>
  <si>
    <r>
      <t>Dotácia na kapitálové výdavky z prostriedkov EÚ (štrukturálnych fondov</t>
    </r>
    <r>
      <rPr>
        <b/>
        <sz val="12"/>
        <rFont val="Times New Roman"/>
        <family val="1"/>
        <charset val="238"/>
      </rPr>
      <t xml:space="preserve"> vrátane spolufinancovania)</t>
    </r>
  </si>
  <si>
    <t>*)</t>
  </si>
  <si>
    <t>T12_SA</t>
  </si>
  <si>
    <r>
      <t>Zmeny tabuliek výročnej správy o hospodárení za rok 2019</t>
    </r>
    <r>
      <rPr>
        <b/>
        <sz val="14"/>
        <color indexed="10"/>
        <rFont val="Times New Roman"/>
        <family val="1"/>
        <charset val="238"/>
      </rPr>
      <t xml:space="preserve"> </t>
    </r>
    <r>
      <rPr>
        <b/>
        <sz val="14"/>
        <rFont val="Times New Roman"/>
        <family val="1"/>
        <charset val="238"/>
      </rPr>
      <t>v porovnaní s rokom 2018</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</si>
  <si>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b/>
        <sz val="14"/>
        <color rgb="FFFF0000"/>
        <rFont val="Times New Roman"/>
        <family val="1"/>
        <charset val="238"/>
      </rPr>
      <t xml:space="preserve">  </t>
    </r>
    <r>
      <rPr>
        <b/>
        <sz val="14"/>
        <rFont val="Times New Roman"/>
        <family val="1"/>
      </rPr>
      <t xml:space="preserve">na programe 077 </t>
    </r>
  </si>
  <si>
    <r>
      <t>Tabuľka č. 2: Príjmy verejnej vysokej školy v roku 2019</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</si>
  <si>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2018 a 2019</t>
  </si>
  <si>
    <t>Rozdiel 2019-2018</t>
  </si>
  <si>
    <r>
      <t>Tabuľka č. 4: Výnosy verejnej vysokej školy zo školného a z poplatkov spojených so štúdiom  
v rokoch 2018</t>
    </r>
    <r>
      <rPr>
        <b/>
        <sz val="14"/>
        <color rgb="FFFF0000"/>
        <rFont val="Times New Roman"/>
        <family val="1"/>
        <charset val="238"/>
      </rPr>
      <t xml:space="preserve"> </t>
    </r>
    <r>
      <rPr>
        <b/>
        <sz val="14"/>
        <rFont val="Times New Roman"/>
        <family val="1"/>
        <charset val="238"/>
      </rPr>
      <t>a 2019</t>
    </r>
    <r>
      <rPr>
        <b/>
        <sz val="14"/>
        <color rgb="FFFF0000"/>
        <rFont val="Times New Roman"/>
        <family val="1"/>
        <charset val="238"/>
      </rPr>
      <t xml:space="preserve"> </t>
    </r>
  </si>
  <si>
    <t>Tabuľka č. 5: Náklady verejnej vysokej školy v rokoch 2018 a 2019</t>
  </si>
  <si>
    <t>Tabuľka č. 6: Zamestnanci a náklady na mzdy verejnej vysokej školy v roku 2019</t>
  </si>
  <si>
    <t>Tabuľka č. 6a: Zamestnanci a náklady na mzdy verejnej vysokej školy v roku 2019   -   len  ženy  a výpočet priemerného platu mužov</t>
  </si>
  <si>
    <t>Tabuľka č. 8: Údaje o systéme sociálnej podpory - časť  sociálne štipendiá  (§ 96 zákona) 
za roky 2018 a 2019</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</si>
  <si>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2018 a 2019</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</si>
  <si>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2018 a 2019 </t>
    </r>
  </si>
  <si>
    <t>Tabuľka č. 11: Zdroje verejnej vysokej školy na obstaranie a technické zhodnotenie dlhodobého  majetku v rokoch 2018 a 2019</t>
  </si>
  <si>
    <t>Tabuľka č. 12: Výdavky verejnej vysokej školy na obstaranie a technické zhodnotenie dlhodobého majetku v roku 2019</t>
  </si>
  <si>
    <t xml:space="preserve">Čerpanie bežnej dotácie v roku 2019 prostredníctvom fondu reprodukcie </t>
  </si>
  <si>
    <t>len z kapitálovej dotácie prijatej na podpoložku 322 001 (na základe dotačnej zmluvy a dodatkov v r. 2019)</t>
  </si>
  <si>
    <t>Nákup strojov, prístrojov, zariadení, techniky a náradia [SUM(R5:R10)]</t>
  </si>
  <si>
    <t>Výdavky na obstaranie a technické zhodnotenie dlhobého majetku spolu [R1+SUM(R3:R4)+SUM(R11:R16)]</t>
  </si>
  <si>
    <r>
      <t xml:space="preserve">Čerpanie kapitálovej dotácie v roku 2019
</t>
    </r>
    <r>
      <rPr>
        <b/>
        <sz val="11"/>
        <color theme="1"/>
        <rFont val="Times New Roman"/>
        <family val="1"/>
      </rPr>
      <t>z prostriedkov EÚ (štrukturálnych fondov)</t>
    </r>
  </si>
  <si>
    <t>Čerpanie z iných zdrojov (napr. z 131x, ...)</t>
  </si>
  <si>
    <t>Tabuľka č. 13: Stav a vývoj finančných fondov verejnej vysokej školy v rokoch 2018 a 2019</t>
  </si>
  <si>
    <t>Tabuľka č. 16: Štruktúra a stav finančných prostriedkov na bankových účtoch verejnej vysokej školy
   k 31. decembru 2019</t>
  </si>
  <si>
    <t>Stav účtu k 31.12.2019</t>
  </si>
  <si>
    <t>Tabuľka č. 17: Príjmy verejnej vysokej školy z prostriedkov EÚ a z prostriedkov na ich spolufinancovanie 
zo štátneho rozpočtu z kapitoly MŠVVaŠ SR a z iných kapitol štátneho rozpočtu v roku 2019</t>
  </si>
  <si>
    <t>zdroj 11S  + 13S spolu</t>
  </si>
  <si>
    <t>zdroj 11T  + 13T spolu</t>
  </si>
  <si>
    <r>
      <t>Tabuľka č. 18: Príjmy z dotácií verejnej vysokej škole zo štátneho rozpočtu z kapitoly MŠVVaŠ SR 
poskytnuté mimo programu 077 a mimo príjmov z prostriedkov EÚ (zo štrukturálnych fondov) v roku 2019</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</si>
  <si>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2018 a 2019 </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</si>
  <si>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</si>
  <si>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</si>
  <si>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</si>
  <si>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</si>
  <si>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</si>
  <si>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</si>
  <si>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 xml:space="preserve">Tabuľka č. 20: Motivačné štipendiá  v rokoch 2018 a 2019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</si>
  <si>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2018 a 2019</t>
    </r>
    <r>
      <rPr>
        <b/>
        <sz val="14"/>
        <color rgb="FFFF0000"/>
        <rFont val="Times New Roman"/>
        <family val="1"/>
        <charset val="238"/>
      </rPr>
      <t xml:space="preserve"> </t>
    </r>
  </si>
  <si>
    <t>Stav k 31. 12. 2019</t>
  </si>
  <si>
    <t xml:space="preserve">Tabuľka č. 22: Výnosy verejnej vysokej školy v roku 2019 v oblasti sociálnej podpory študentov </t>
  </si>
  <si>
    <t>Zákonné poplatky-školné</t>
  </si>
  <si>
    <t xml:space="preserve">Tabuľka č .23:  Náklady verejnej vysokej školy  v roku 2019 v oblasti sociálnej podpory študentov </t>
  </si>
  <si>
    <t>Náklady
hlavnej činnosti
2019</t>
  </si>
  <si>
    <r>
      <t>Rozdiel 2019-2018</t>
    </r>
    <r>
      <rPr>
        <sz val="12"/>
        <color indexed="10"/>
        <rFont val="Times New Roman"/>
        <family val="1"/>
        <charset val="238"/>
      </rPr>
      <t xml:space="preserve"> </t>
    </r>
  </si>
  <si>
    <t>Výnosy
v hlavnej činnosti
2018</t>
  </si>
  <si>
    <r>
      <t>Výnosy
hlavnej činnosti
2019</t>
    </r>
    <r>
      <rPr>
        <sz val="12"/>
        <color indexed="10"/>
        <rFont val="Times New Roman"/>
        <family val="1"/>
        <charset val="238"/>
      </rPr>
      <t xml:space="preserve"> </t>
    </r>
  </si>
  <si>
    <t>Vysvetlivky k tabuľkám výročnej správy o hospodárení verejnej vysokej školy za rok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</si>
  <si>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</si>
  <si>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2018 a 2019.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</si>
  <si>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</si>
  <si>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2018 a 2019</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</si>
  <si>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2018</t>
    </r>
    <r>
      <rPr>
        <b/>
        <sz val="12"/>
        <color indexed="10"/>
        <rFont val="Times New Roman"/>
        <family val="1"/>
        <charset val="238"/>
      </rPr>
      <t xml:space="preserve"> </t>
    </r>
    <r>
      <rPr>
        <b/>
        <sz val="12"/>
        <rFont val="Times New Roman"/>
        <family val="1"/>
        <charset val="238"/>
      </rPr>
      <t xml:space="preserve">a  2019.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</si>
  <si>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</si>
  <si>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2019</t>
    </r>
    <r>
      <rPr>
        <b/>
        <sz val="12"/>
        <color indexed="8"/>
        <rFont val="Times New Roman"/>
        <family val="1"/>
        <charset val="238"/>
      </rPr>
      <t xml:space="preserve"> vo výške  1,3 euro. </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</si>
  <si>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</si>
  <si>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2018</t>
    </r>
    <r>
      <rPr>
        <sz val="12"/>
        <color indexed="10"/>
        <rFont val="Times New Roman"/>
        <family val="1"/>
        <charset val="238"/>
      </rPr>
      <t xml:space="preserve"> </t>
    </r>
    <r>
      <rPr>
        <sz val="12"/>
        <color indexed="8"/>
        <rFont val="Times New Roman"/>
        <family val="1"/>
        <charset val="238"/>
      </rPr>
      <t>(stĺpec SA v R11), resp. k 31. 12. 2019 (stĺpec SB v R11) na zdrojoch 131x, 13S1, 13S2, 13T1,13T2.....(zostatky zo ŠR aj zo ŠF)</t>
    </r>
  </si>
  <si>
    <t>Tabuľka č. 12 poskytuje informácie o štruktúre a objeme výdavkov, ktoré verejná vysoká škola  použila na obstaranie a technické zhodnotenie dlhodobého majetku v roku 2019.</t>
  </si>
  <si>
    <t>Tabuľka č. 13 poskytuje informácie o stave a vývoji finančných fondov verejnej vysokej školy v rokoch 2018 a 2019.</t>
  </si>
  <si>
    <r>
      <t>Uvedú sa sumárne stavy ostatných  fondov, ktoré vysoká škola vytvorila za roky 2018</t>
    </r>
    <r>
      <rPr>
        <sz val="12"/>
        <color indexed="10"/>
        <rFont val="Times New Roman"/>
        <family val="1"/>
        <charset val="238"/>
      </rPr>
      <t xml:space="preserve"> </t>
    </r>
    <r>
      <rPr>
        <sz val="12"/>
        <rFont val="Times New Roman"/>
        <family val="1"/>
        <charset val="238"/>
      </rPr>
      <t>a 2019 v zmysle §16a ods. 1 zákona č. 131/2002 Z. z. o vysokých školách v znení neskorších predpisov.</t>
    </r>
  </si>
  <si>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</si>
  <si>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2019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2019. </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</si>
  <si>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2019.</t>
    </r>
  </si>
  <si>
    <r>
      <t>V stĺpcoch A, B,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</si>
  <si>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2019</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</si>
  <si>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</si>
  <si>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</si>
  <si>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</si>
  <si>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Súvzťažnosti medzi tabuľkami výročnej správy o hospodárení verejnej vysokej školy za rok 2019</t>
  </si>
  <si>
    <r>
      <t xml:space="preserve">T1 = </t>
    </r>
    <r>
      <rPr>
        <b/>
        <sz val="12"/>
        <rFont val="Times New Roman"/>
        <family val="1"/>
        <charset val="238"/>
      </rPr>
      <t>dotačná zmluva na 2019</t>
    </r>
  </si>
  <si>
    <t>Bežná a kapitálová dotácia je kontrolovaná na Zmluvu o poskytnutí  dotácií  zo štátneho rozpočtu prostredníctvom kapitoly MŠVVaŠ (ďalej len "dotačná zmluva") a jej dodatkov na rok 2019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</si>
  <si>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2019  a údaje z roku 2018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</si>
  <si>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2018 a údaje z roku 2019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</si>
  <si>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T6_R1..R6, R7, R9, R13, R14, R16, R17 = Škol 2-04 za 2019</t>
    </r>
    <r>
      <rPr>
        <sz val="12"/>
        <color indexed="10"/>
        <rFont val="Times New Roman"/>
        <family val="1"/>
        <charset val="238"/>
      </rPr>
      <t xml:space="preserve">, </t>
    </r>
    <r>
      <rPr>
        <sz val="12"/>
        <rFont val="Times New Roman"/>
        <family val="1"/>
        <charset val="238"/>
      </rPr>
      <t xml:space="preserve">
T6_R15a.. = dotačná zmluva na 2019, špecifiká</t>
    </r>
  </si>
  <si>
    <r>
      <t>Údaje v riadkoch R1:R6, R7, R9, R13, R14, R16, R17  sú kontrolované s údajmi v štatistickom výkaze Škol (MŠ SR) 2-04 za rok 2019</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</si>
  <si>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v R1_SC za rok 2019 sú kontrolované na T5_R77_SC + SD</t>
  </si>
  <si>
    <t>T8_R5_SA (SC) = dotačná zmluva na rok 2018 (2019), prvok 077 15 01 - účelové prostriedky na sociálne štipendiá</t>
  </si>
  <si>
    <t>Údaje  sú kontrolované na  dotačné zmluvy a na účelovú dotáciu na rok 2018, 2019. Za rok 2018 na T1_R12_SA.
Údaje v T8_R1_SC by sa mali rovnať údajom z CRŠ kód 1.</t>
  </si>
  <si>
    <t>T8_R5_SC= T1_R12_SA
T8_R4_SC = zostatok k 31.12.2018
T8_R6_SA = T8_R4_SC 
T8_R1_SA (SC)  ≤ T13_R11_SE (SF)</t>
  </si>
  <si>
    <t>Údaj v T8_R4_SA predstavuje zostatok nevyčerpanej dotácie z predchádzajúceho roka, t. j. k 31. 12. 2018.  
Údaj v T8_R6_SA (SC) predstavuje zostatok nevyčerpanej dotácie k 31. 12. príslušného roka (2018, resp. 2019) a ich hodnoty sa vypočítajú z ostatných uvedených údajov. Zostatok nevyčerpanej dotácie k 31. 12. 2018 je totožný  s údajmi vykazovanými v tabuľke T8 výročnej správy za rok 2018.</t>
  </si>
  <si>
    <t>T9_R1 = štatistické výkazy MŠVVaŠ SR 2018 (2019)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</si>
  <si>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2018, 2019.</t>
    </r>
  </si>
  <si>
    <t xml:space="preserve">T9_R6_SA (SB) = dotačná zmluva 2018 (2019) - účelové prostriedky na študentské domovy (vrátane dotácie na valorizáciu miezd ŠJ) </t>
  </si>
  <si>
    <t>T10_R7_SA (SB) = dotačná zmluva 2018 (2019)_účelová dotácia na študentské jedálne</t>
  </si>
  <si>
    <t>Údaje v R7_SA (SB) sú kontrolované na  dotačné zmluvy a na účelovú dotáciu na rok 2018, 2019.</t>
  </si>
  <si>
    <t>T10_R13 = štatistické výkazy MŠVVaŠ SR 2018 (2019)</t>
  </si>
  <si>
    <r>
      <t xml:space="preserve">Údaje v T11_R2 - tvorba fondu reprodukcie za roky 2018 a 2019 sa musia rovnať údajom v T13_R2_SC (SD). 
</t>
    </r>
    <r>
      <rPr>
        <strike/>
        <sz val="12"/>
        <rFont val="Times New Roman"/>
        <family val="1"/>
        <charset val="238"/>
      </rPr>
      <t/>
    </r>
  </si>
  <si>
    <t>T12_R17_SG = výkazníctvo 2019, kategória 700, všetky zdroje</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</si>
  <si>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</si>
  <si>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r>
      <t>Stavy fondov k 1.1. a k 31.12.2019</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</si>
  <si>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2019 sa rovná odpisom ostatného DN a HM za rok 2018 (T5_R86_SC+SD)</t>
  </si>
  <si>
    <t xml:space="preserve">Údaje v T17 sú kontrolované na hodnoty z výkazníctva, finančné prostriedky z EÚ (vrátane spolufinancovania zo štátneho rozpočtu), zabezpečované prostredníctvom MŠVVaŠ SR v roku 2019. </t>
  </si>
  <si>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</si>
  <si>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T21_R1_SF  = výkazníctvo 2018 súvaha, časť pasíva, riadok 103, predchádzajúce účtovné obdobie
T21_R1_SL = výkazníctvo 2019, súvaha, časť pasíva, riadok 103, bežné účtovné obdobie </t>
  </si>
  <si>
    <t xml:space="preserve">Celková hodnota účtu 384 za rok 2018 a 2019,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(2018), resp. SI (2018). 
Údaje za rok 2018 musia byť totožné s údajmi, ktoré VVŠ predložili k výsledkom hospodárenia VVŠ za rok 2018.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</si>
  <si>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2018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</si>
  <si>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2019  rovná súčtu zvyšku prijatej kapitálovej dotácie na kompenzáciu odpisov z roku 2018</t>
    </r>
    <r>
      <rPr>
        <sz val="12"/>
        <color indexed="10"/>
        <rFont val="Times New Roman"/>
        <family val="1"/>
        <charset val="238"/>
      </rPr>
      <t xml:space="preserve"> </t>
    </r>
    <r>
      <rPr>
        <sz val="12"/>
        <rFont val="Times New Roman"/>
        <family val="1"/>
        <charset val="238"/>
      </rPr>
      <t xml:space="preserve">(stĺpec SB) a výšky kapitálovej dotácie (2019) z </t>
    </r>
    <r>
      <rPr>
        <sz val="12"/>
        <color indexed="8"/>
        <rFont val="Times New Roman"/>
        <family val="1"/>
        <charset val="238"/>
      </rPr>
      <t xml:space="preserve">T11_R10a_SB, zníženému o odpisy, vykazované v T5_R86a_SC. </t>
    </r>
  </si>
  <si>
    <t>Obsah tabuľkovej prílohy výročnej správy o hospodárení verejnej vysokej školy za rok 2019</t>
  </si>
  <si>
    <t>Vysvetlivky k tabuľkám výročnej správy o hospodárení verejných vysokých škôl za rok 2019</t>
  </si>
  <si>
    <t>Súvzťažnosti tabuliek výročnej správy o hospodárení verejných vysokých škôl za rok 2019</t>
  </si>
  <si>
    <r>
      <t>Príjmy verejnej vysokej školy v roku 2019</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</si>
  <si>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2019</t>
    </r>
    <r>
      <rPr>
        <sz val="12"/>
        <color rgb="FF00B050"/>
        <rFont val="Times New Roman"/>
        <family val="1"/>
        <charset val="238"/>
      </rPr>
      <t xml:space="preserve"> </t>
    </r>
    <r>
      <rPr>
        <sz val="12"/>
        <rFont val="Times New Roman"/>
        <family val="1"/>
        <charset val="238"/>
      </rPr>
      <t xml:space="preserve"> na programe 077 </t>
    </r>
  </si>
  <si>
    <t>Výnosy verejnej vysokej školy v rokoch 2018 a 2019</t>
  </si>
  <si>
    <r>
      <t>Výnosy verejnej vysokej školy zo školného a z poplatkov spojených so štúdiom v rokoch 2018</t>
    </r>
    <r>
      <rPr>
        <sz val="12"/>
        <color indexed="10"/>
        <rFont val="Times New Roman"/>
        <family val="1"/>
        <charset val="238"/>
      </rPr>
      <t xml:space="preserve"> </t>
    </r>
    <r>
      <rPr>
        <sz val="12"/>
        <rFont val="Times New Roman"/>
        <family val="1"/>
        <charset val="238"/>
      </rPr>
      <t>a 2019</t>
    </r>
  </si>
  <si>
    <t>Náklady verejnej vysokej školy v rokoch 2018 a 2019</t>
  </si>
  <si>
    <t>Zamestnanci a náklady na mzdy verejnej vysokej školy v roku 2019</t>
  </si>
  <si>
    <r>
      <t>Zamestnanci a náklady na mzdy verejnej vysokej školy v roku 2019</t>
    </r>
    <r>
      <rPr>
        <sz val="12"/>
        <color theme="1"/>
        <rFont val="Times New Roman"/>
        <family val="1"/>
        <charset val="238"/>
      </rPr>
      <t xml:space="preserve"> - len ženy</t>
    </r>
  </si>
  <si>
    <t>Údaje o systéme sociálnej podpory  - časť  sociálne štipendiá  (§ 96 zákona) za roky 2018 a 2019</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</si>
  <si>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2018 a 2019</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</si>
  <si>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2018 a 2019</t>
    </r>
  </si>
  <si>
    <t>Zdroje verejnej vysokej školy na obstaranie a technické zhodnotenie dlhodobého  majetku v rokoch 2018 a 2019</t>
  </si>
  <si>
    <t>Výdavky verejnej vysokej školy na obstaranie a technické zhodnotenie dlhodobého majetku v roku 2019</t>
  </si>
  <si>
    <t>Stav a vývoj finančných fondov verejnej vysokej školy v rokoch 2018 a 2019</t>
  </si>
  <si>
    <r>
      <t>Štruktúra a stav finančných prostriedkov na bankových účtoch verejnej vysokej školy k 31. decembru 2019</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</si>
  <si>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2019</t>
  </si>
  <si>
    <r>
      <t>Príjmy z dotácií verejnej vysokej škole zo štátneho rozpočtu z kapitoly MŠVVaŠ SR poskytnuté mimo programu 077 a mimo príjmov z prostriedkov EÚ (zo štrukturálnych fondov) v roku 2019</t>
    </r>
    <r>
      <rPr>
        <sz val="12"/>
        <color rgb="FF00B050"/>
        <rFont val="Times New Roman"/>
        <family val="1"/>
        <charset val="238"/>
      </rPr>
      <t xml:space="preserve"> </t>
    </r>
  </si>
  <si>
    <t>Štipendiá z vlastných zdrojov podľa § 97 zákona v rokoch 2018 a 2019</t>
  </si>
  <si>
    <t xml:space="preserve">Motivačné štipendiá  v rokoch 2018 a 2019 (v zmysle § 96a  zákona ) </t>
  </si>
  <si>
    <t>Štruktúra účtu 384 - výnosy budúcich období v rokoch 2018 a 2019</t>
  </si>
  <si>
    <t>Výnosy verejnej vysokej školy v roku 2019 v oblasti sociálnej podpory študentov</t>
  </si>
  <si>
    <r>
      <t>Náklady verejnej vysokej školy  v roku 2019</t>
    </r>
    <r>
      <rPr>
        <sz val="12"/>
        <color indexed="10"/>
        <rFont val="Times New Roman"/>
        <family val="1"/>
        <charset val="238"/>
      </rPr>
      <t xml:space="preserve"> </t>
    </r>
    <r>
      <rPr>
        <sz val="12"/>
        <rFont val="Times New Roman"/>
        <family val="1"/>
        <charset val="238"/>
      </rPr>
      <t>v oblasti sociálnej podpory študentov</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</si>
  <si>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</si>
  <si>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</si>
  <si>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</si>
  <si>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</si>
  <si>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</si>
  <si>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</si>
  <si>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Priemerný evidenčný prepočítaný počet </t>
    </r>
    <r>
      <rPr>
        <b/>
        <sz val="12"/>
        <rFont val="Times New Roman"/>
        <family val="1"/>
        <charset val="238"/>
      </rPr>
      <t>žien</t>
    </r>
    <r>
      <rPr>
        <b/>
        <sz val="12"/>
        <rFont val="Times New Roman"/>
        <family val="1"/>
      </rPr>
      <t xml:space="preserve"> za rok 2019</t>
    </r>
  </si>
  <si>
    <t>Priemerný evidenčný prepočítaný počet zamestnancov za rok 2019</t>
  </si>
  <si>
    <r>
      <t xml:space="preserve">Dotácia na kapitálové výdavky zo štátneho rozpočtu </t>
    </r>
    <r>
      <rPr>
        <b/>
        <sz val="12"/>
        <color rgb="FFFF0000"/>
        <rFont val="Times New Roman"/>
        <family val="1"/>
        <charset val="238"/>
      </rPr>
      <t xml:space="preserve"> (111, 131H, 131I *)</t>
    </r>
  </si>
  <si>
    <t>zdroj 131H, 131I  len za ŠD</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</si>
  <si>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</si>
  <si>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T5_R56_SC+SD &gt;=&lt; T6_R18_SH
T5_R77_(SC+SD) = T7_R1_SE
T5_R81_S</t>
    </r>
    <r>
      <rPr>
        <sz val="12"/>
        <color rgb="FFFF0000"/>
        <rFont val="Times New Roman"/>
        <family val="1"/>
        <charset val="238"/>
      </rPr>
      <t>D</t>
    </r>
    <r>
      <rPr>
        <sz val="12"/>
        <color theme="1"/>
        <rFont val="Times New Roman"/>
        <family val="1"/>
        <charset val="238"/>
      </rPr>
      <t xml:space="preserve"> = T19_R1_SC</t>
    </r>
  </si>
  <si>
    <t>zmena vzťahu : T5_R81_SD = T19_R1_SC</t>
  </si>
  <si>
    <r>
      <t>T11_SB_R10a = T17_SC+SD_R1</t>
    </r>
    <r>
      <rPr>
        <sz val="12"/>
        <color rgb="FFFF0000"/>
        <rFont val="Times New Roman"/>
        <family val="1"/>
        <charset val="238"/>
      </rPr>
      <t>6</t>
    </r>
  </si>
  <si>
    <t>zmena vzťahu: T11_SB_R10a = T17_SC+SD_R16</t>
  </si>
  <si>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</si>
  <si>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</si>
  <si>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</si>
  <si>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Spolu </t>
    </r>
    <r>
      <rPr>
        <sz val="11"/>
        <color theme="1"/>
        <rFont val="Times New Roman"/>
        <family val="1"/>
        <charset val="238"/>
      </rPr>
      <t>[R1+R6+SUM(R11:R16)+R19+R20+R26+R33+R34+SUM(R45:R50)+SUM(R56:R62)]</t>
    </r>
  </si>
  <si>
    <r>
      <t xml:space="preserve">Uvedie sa objem prijatej kapitálovej dotácie z rozpočtu kapitoly MŠVVaŠ SR a z iných rozpočtových kapitol v roku 2019 zo zdroja 111, 131H a </t>
    </r>
    <r>
      <rPr>
        <sz val="12"/>
        <color rgb="FFFF0000"/>
        <rFont val="Times New Roman"/>
        <family val="1"/>
        <charset val="238"/>
      </rPr>
      <t>131I</t>
    </r>
    <r>
      <rPr>
        <sz val="12"/>
        <color theme="1"/>
        <rFont val="Times New Roman"/>
        <family val="1"/>
        <charset val="238"/>
      </rPr>
      <t xml:space="preserve"> (kapitálová dotácia, ktorá bola verejnej vysokej škole poukázaná na účet (cash) v sledovanom období,  účet 346002 - strana DAL)</t>
    </r>
  </si>
  <si>
    <t>vložený zdroj 131I</t>
  </si>
  <si>
    <t xml:space="preserve">Pri vypĺňaní tabuľky je potrebné dodržiavať "Manuál k vedeniu účtovníctva od 1. januára 2019 pre verejné vysoké školy používajúce finančný informačný systém SOFIA (verzia2) " </t>
  </si>
  <si>
    <t>zmenený názov usmernenia v súvzťažnostiach</t>
  </si>
  <si>
    <r>
      <t>výnosy verejnej vysokej školy v roku 2019</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</si>
  <si>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2019</t>
    </r>
    <r>
      <rPr>
        <sz val="12"/>
        <color rgb="FFFF0000"/>
        <rFont val="Times New Roman"/>
        <family val="1"/>
        <charset val="238"/>
      </rPr>
      <t xml:space="preserve"> </t>
    </r>
    <r>
      <rPr>
        <sz val="12"/>
        <rFont val="Times New Roman"/>
        <family val="1"/>
        <charset val="238"/>
      </rPr>
      <t>v oblasti sociálnej podpory študentov</t>
    </r>
  </si>
  <si>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</si>
  <si>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</si>
  <si>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</si>
  <si>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T13_SG(SH) uvádzajte tvorbu fondu podľa §16a bod d) zákona 131/2002 Z. z., t.j. fondu na podporu štúdia študentov so špecifickými potrebami</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</si>
  <si>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</si>
  <si>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</si>
  <si>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</si>
  <si>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</si>
  <si>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</si>
  <si>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</si>
  <si>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</si>
  <si>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</si>
  <si>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</si>
  <si>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</si>
  <si>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</si>
  <si>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</si>
  <si>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</si>
  <si>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</si>
  <si>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</si>
  <si>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</si>
  <si>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</si>
  <si>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</si>
  <si>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</si>
  <si>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</si>
  <si>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</si>
  <si>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r>
      <t>T16_</t>
    </r>
    <r>
      <rPr>
        <sz val="12"/>
        <color rgb="FFFF0000"/>
        <rFont val="Times New Roman"/>
        <family val="1"/>
        <charset val="238"/>
      </rPr>
      <t>R20</t>
    </r>
    <r>
      <rPr>
        <sz val="12"/>
        <rFont val="Times New Roman"/>
        <family val="1"/>
        <charset val="238"/>
      </rPr>
      <t>_SB = výkazníctvo, súvaha, časť Aktíva, riadok 053,</t>
    </r>
  </si>
  <si>
    <t xml:space="preserve">Verejná vysoká škola tu uvedie stavy na jednotlivých účtoch. </t>
  </si>
  <si>
    <r>
      <t>T16_</t>
    </r>
    <r>
      <rPr>
        <sz val="12"/>
        <color rgb="FFFF0000"/>
        <rFont val="Times New Roman"/>
        <family val="1"/>
        <charset val="238"/>
      </rPr>
      <t>R3</t>
    </r>
  </si>
  <si>
    <r>
      <t xml:space="preserve">Verejná vysoká škola tu uvedie stavy na bežných účtoch neuvedených v riadkoch </t>
    </r>
    <r>
      <rPr>
        <sz val="12"/>
        <color rgb="FFFF0000"/>
        <rFont val="Times New Roman"/>
        <family val="1"/>
        <charset val="238"/>
      </rPr>
      <t>R4:R6</t>
    </r>
    <r>
      <rPr>
        <sz val="12"/>
        <rFont val="Times New Roman"/>
        <family val="1"/>
        <charset val="238"/>
      </rPr>
      <t>.</t>
    </r>
  </si>
  <si>
    <r>
      <t xml:space="preserve">Tabuľka č. 16 poskytuje informácie o objeme a štruktúre finančných prostriedkov na bankových účtoch verejnej vysokej školy  k 31. 12. 2019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</si>
  <si>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r>
      <t>T16_</t>
    </r>
    <r>
      <rPr>
        <sz val="12"/>
        <color rgb="FFFF0000"/>
        <rFont val="Times New Roman"/>
        <family val="1"/>
        <charset val="238"/>
      </rPr>
      <t>R2:R16</t>
    </r>
  </si>
  <si>
    <r>
      <t>T16_</t>
    </r>
    <r>
      <rPr>
        <sz val="12"/>
        <color rgb="FFFF0000"/>
        <rFont val="Times New Roman"/>
        <family val="1"/>
        <charset val="238"/>
      </rPr>
      <t>R16</t>
    </r>
  </si>
  <si>
    <t>Verejná vysoká škola tu uvedie stavy na účtoch, na ktoré uchádzači  počas procesu verejného obstarávania vkladajú finančnú zábezpeku.</t>
  </si>
  <si>
    <r>
      <t xml:space="preserve">T16_ </t>
    </r>
    <r>
      <rPr>
        <sz val="12"/>
        <color rgb="FFFF0000"/>
        <rFont val="Times New Roman"/>
        <family val="1"/>
        <charset val="238"/>
      </rPr>
      <t>R17</t>
    </r>
  </si>
  <si>
    <t>V tomto riadku uvedie verejná vysoká škola všetky ostatné stavy na bankových účtov v Štátnej pokladnici, ktoré neboli zaradené ani do jednej skupiny účtov.</t>
  </si>
  <si>
    <r>
      <t>T16_</t>
    </r>
    <r>
      <rPr>
        <sz val="12"/>
        <color rgb="FFFF0000"/>
        <rFont val="Times New Roman"/>
        <family val="1"/>
        <charset val="238"/>
      </rPr>
      <t>R18</t>
    </r>
  </si>
  <si>
    <r>
      <t>T16_</t>
    </r>
    <r>
      <rPr>
        <sz val="12"/>
        <color rgb="FFFF0000"/>
        <rFont val="Times New Roman"/>
        <family val="1"/>
        <charset val="238"/>
      </rPr>
      <t>R19</t>
    </r>
  </si>
  <si>
    <t>celá prerobená</t>
  </si>
  <si>
    <r>
      <t xml:space="preserve">Čísla účtov v </t>
    </r>
    <r>
      <rPr>
        <b/>
        <sz val="12"/>
        <color rgb="FF0000FF"/>
        <rFont val="Times New Roman"/>
        <family val="1"/>
        <charset val="238"/>
      </rPr>
      <t>tvare IBAN</t>
    </r>
  </si>
  <si>
    <t>T16_R2</t>
  </si>
  <si>
    <t>vložený riadok</t>
  </si>
  <si>
    <t>v hlavičkách, vo vysvetlivkách a v súvzťažnostiach boli zmenené (aktualizované) roky , všetky zmeny vo vysvetlivkách a súvzťažnostiach sú vyznačené farebne
vo vysvetlivkách pridaný riadok 79 - 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</si>
  <si>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</si>
  <si>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</si>
  <si>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</si>
  <si>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</si>
  <si>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</si>
  <si>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</si>
  <si>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</si>
  <si>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</si>
  <si>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</si>
  <si>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</si>
  <si>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</si>
  <si>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</si>
  <si>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</si>
  <si>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</si>
  <si>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</si>
  <si>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</si>
  <si>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Ak má VVŠ finančné prostriedky zaúčtované na účte 261 - peniaze na ceste, uvedie ich v tomto riadku: z dôvodu kontroly stavu na bankových účtoch k 31. 12. 2019</t>
    </r>
    <r>
      <rPr>
        <sz val="12"/>
        <color rgb="FFFF0000"/>
        <rFont val="Times New Roman"/>
        <family val="1"/>
        <charset val="238"/>
      </rPr>
      <t xml:space="preserve"> </t>
    </r>
    <r>
      <rPr>
        <sz val="12"/>
        <rFont val="Times New Roman"/>
        <family val="1"/>
        <charset val="238"/>
      </rPr>
      <t xml:space="preserve">na údaje zo súvahy. </t>
    </r>
  </si>
  <si>
    <r>
      <t>Tabuľka č.19 poskytuje informácie o objeme a štruktúre štipendií  vyplácaných verejnou vysokou školou z vlastných zdrojov podľa § 97 zákona. Neobsahuje</t>
    </r>
    <r>
      <rPr>
        <b/>
        <sz val="12"/>
        <rFont val="Times New Roman"/>
        <family val="1"/>
        <charset val="238"/>
      </rPr>
      <t xml:space="preserve"> údaje o "normálnych" štipendiách vyplatených doktorandom (t.j. podľa §54, ods.18 zákona)</t>
    </r>
  </si>
  <si>
    <r>
      <t>T4_R1_SA(SB) = T3_R20_SA(SC),
T4_R</t>
    </r>
    <r>
      <rPr>
        <sz val="12"/>
        <color rgb="FFFF0000"/>
        <rFont val="Times New Roman"/>
        <family val="1"/>
        <charset val="238"/>
      </rPr>
      <t>6</t>
    </r>
    <r>
      <rPr>
        <sz val="12"/>
        <color theme="1"/>
        <rFont val="Times New Roman"/>
        <family val="1"/>
        <charset val="238"/>
      </rPr>
      <t>_SA(SB) = T3_R26_SA(SC) 
T4_R1</t>
    </r>
    <r>
      <rPr>
        <sz val="12"/>
        <color rgb="FFFF0000"/>
        <rFont val="Times New Roman"/>
        <family val="1"/>
        <charset val="238"/>
      </rPr>
      <t>4</t>
    </r>
    <r>
      <rPr>
        <sz val="12"/>
        <color theme="1"/>
        <rFont val="Times New Roman"/>
        <family val="1"/>
        <charset val="238"/>
      </rPr>
      <t xml:space="preserve">_SA(SB) = T13_R9_SE(SF)
</t>
    </r>
    <r>
      <rPr>
        <strike/>
        <sz val="12"/>
        <color rgb="FFFF0000"/>
        <rFont val="Times New Roman"/>
        <family val="1"/>
        <charset val="238"/>
      </rPr>
      <t>T4_R14_SA = T22_R58_SA</t>
    </r>
    <r>
      <rPr>
        <sz val="12"/>
        <color theme="1"/>
        <rFont val="Times New Roman"/>
        <family val="1"/>
        <charset val="238"/>
      </rPr>
      <t xml:space="preserve">
T4_R15_SB = T22_R57_SB</t>
    </r>
  </si>
  <si>
    <r>
      <t>Údaje v T4 sú kontrolované na údaje z T3, a to na výnosy z hlavnej činnosti - školné (T3_R20), poplatky spojené so štúdiom (T3_R26). 
Údaj  v R1</t>
    </r>
    <r>
      <rPr>
        <sz val="12"/>
        <color rgb="FFFF0000"/>
        <rFont val="Times New Roman"/>
        <family val="1"/>
        <charset val="238"/>
      </rPr>
      <t>4</t>
    </r>
    <r>
      <rPr>
        <sz val="12"/>
        <color theme="1"/>
        <rFont val="Times New Roman"/>
        <family val="1"/>
        <charset val="238"/>
      </rPr>
      <t xml:space="preserve"> - návrh na prídel do štipendijného fondu musí byť minimálne vo výške vykazovanom na riadku R14 - základ pre prídel do štipendijného fondu.</t>
    </r>
  </si>
  <si>
    <t>upravená súvzťažnosť</t>
  </si>
  <si>
    <r>
      <t>T3_R20_SA (SC) = T4_R1_SA (SB),
T3_R26_SA (SC) = T4_R</t>
    </r>
    <r>
      <rPr>
        <sz val="12"/>
        <color rgb="FFFF0000"/>
        <rFont val="Times New Roman"/>
        <family val="1"/>
        <charset val="238"/>
      </rPr>
      <t>6</t>
    </r>
    <r>
      <rPr>
        <sz val="12"/>
        <color theme="1"/>
        <rFont val="Times New Roman"/>
        <family val="1"/>
        <charset val="238"/>
      </rPr>
      <t>_SA (SB)</t>
    </r>
  </si>
  <si>
    <r>
      <t>T13_R9_SF = T4_R1</t>
    </r>
    <r>
      <rPr>
        <sz val="12"/>
        <color rgb="FFFF0000"/>
        <rFont val="Times New Roman"/>
        <family val="1"/>
        <charset val="238"/>
      </rPr>
      <t>4</t>
    </r>
    <r>
      <rPr>
        <sz val="12"/>
        <color theme="1"/>
        <rFont val="Times New Roman"/>
        <family val="1"/>
        <charset val="238"/>
      </rPr>
      <t>_SB</t>
    </r>
  </si>
  <si>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</si>
  <si>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</si>
  <si>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</si>
  <si>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r>
      <t>T23_R24_SA_(SB)≥T19_R1_SA_(SC)
T23_R30_SA_(SB)=T4_R1</t>
    </r>
    <r>
      <rPr>
        <sz val="12"/>
        <color rgb="FFFF0000"/>
        <rFont val="Times New Roman"/>
        <family val="1"/>
        <charset val="238"/>
      </rPr>
      <t>4</t>
    </r>
    <r>
      <rPr>
        <sz val="12"/>
        <color theme="1"/>
        <rFont val="Times New Roman"/>
        <family val="1"/>
        <charset val="238"/>
      </rPr>
      <t>_SA_(SB)</t>
    </r>
  </si>
  <si>
    <r>
      <t>T22_R57_SA (SB) = T4_R1</t>
    </r>
    <r>
      <rPr>
        <sz val="12"/>
        <color rgb="FFFF0000"/>
        <rFont val="Times New Roman"/>
        <family val="1"/>
        <charset val="238"/>
      </rPr>
      <t>4</t>
    </r>
    <r>
      <rPr>
        <sz val="12"/>
        <rFont val="Times New Roman"/>
        <family val="1"/>
        <charset val="238"/>
      </rPr>
      <t xml:space="preserve">_SB
</t>
    </r>
    <r>
      <rPr>
        <sz val="11"/>
        <rFont val="Times New Roman"/>
        <family val="1"/>
        <charset val="238"/>
      </rPr>
      <t>T22R_R64_SA_(SB)= T19_R1_SA_(SC)</t>
    </r>
  </si>
  <si>
    <t>odstránený R6 (cudzinci podľa prechodných ustanovení) a upravené s tým súvisiace súvzťažnosti v T3, T13, T22, T23</t>
  </si>
  <si>
    <t>V prípade, že časť dotácie škola posúva na zmluvné zariadenia, uveďe objem posunutej dotácie do poznámky pod tabuľkou.</t>
  </si>
  <si>
    <r>
      <t>T17_</t>
    </r>
    <r>
      <rPr>
        <sz val="12"/>
        <color rgb="FFFF0000"/>
        <rFont val="Times New Roman"/>
        <family val="1"/>
        <charset val="238"/>
      </rPr>
      <t>R15</t>
    </r>
  </si>
  <si>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</si>
  <si>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</si>
  <si>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</si>
  <si>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</si>
  <si>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</si>
  <si>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</si>
  <si>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r>
      <t xml:space="preserve">   V stĺpci A uvádzajte pre KV: zdroj 111+131H+</t>
    </r>
    <r>
      <rPr>
        <sz val="12"/>
        <color rgb="FFFF0000"/>
        <rFont val="Times New Roman"/>
        <family val="1"/>
        <charset val="238"/>
      </rPr>
      <t xml:space="preserve"> 131I</t>
    </r>
    <r>
      <rPr>
        <sz val="12"/>
        <color theme="1"/>
        <rFont val="Times New Roman"/>
        <family val="1"/>
      </rPr>
      <t xml:space="preserve"> (príjem na 322 001)</t>
    </r>
  </si>
  <si>
    <r>
      <t xml:space="preserve">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t>
    </r>
    <r>
      <rPr>
        <sz val="12"/>
        <color rgb="FFFF0000"/>
        <rFont val="Times New Roman"/>
        <family val="1"/>
        <charset val="238"/>
      </rPr>
      <t>do riadkov R23a ....</t>
    </r>
    <r>
      <rPr>
        <sz val="12"/>
        <color theme="1"/>
        <rFont val="Times New Roman"/>
        <family val="1"/>
        <charset val="238"/>
      </rPr>
      <t>.</t>
    </r>
  </si>
  <si>
    <t>23a</t>
  </si>
  <si>
    <t>23b</t>
  </si>
  <si>
    <t>pre KV: zdroj 111+131H+131I (príjem v roku 2019 na 322 001)</t>
  </si>
  <si>
    <r>
      <t>Čerpanie kapitálovej dotácie v roku 2019</t>
    </r>
    <r>
      <rPr>
        <b/>
        <sz val="11"/>
        <color theme="1"/>
        <rFont val="Times New Roman"/>
        <family val="1"/>
      </rPr>
      <t xml:space="preserve">
zo štátneho rozpočtu (111 a 131H, 131I) *)</t>
    </r>
  </si>
  <si>
    <t>Náklady na štipendiá doktorandov v dennej forme štúdia spolu</t>
  </si>
  <si>
    <t xml:space="preserve">Tabuľka č. 7: Náklady verejnej vysokej školy na štipendiá doktorandov v dennej forme štúdia v roku 2019 </t>
  </si>
  <si>
    <t>Náklady verejnej vysokej školy na štipendiá  doktorandov v dennej forme štúdia v roku 2019</t>
  </si>
  <si>
    <t>Tabuľka č. 7 poskytuje informácie o  počte osobomesiacov doktorandov v dennej forme štúdia, o nákladoch vysokej školy na štipendiá doktorandov.</t>
  </si>
  <si>
    <t>T20_R2 = dotačná zmluva 2018 (2019)_účelová dotácia na motivačné štipendiá</t>
  </si>
  <si>
    <t>používa sa napr. na výpočet valorizácie</t>
  </si>
  <si>
    <t>Počet osobomesiacov doktorandov v dennej forme štúdia spolu</t>
  </si>
  <si>
    <t>Priemerný mesačný náklad na doktoranda v dennej forme štúdia</t>
  </si>
  <si>
    <t>SvF7000240903, 7000133227, SjF 7000085616, 700133235, FEI 7000240866, 7000133243, FCHPT 7000324226, 7000133251, FA 7000240858, 7000133278, MTF 7000241076, 7000133286, FIIT 7000242271, 7000133294, R 7000240727, 7000133307, 7000133219, ŠDaJ 7000241279, 7000133315</t>
  </si>
  <si>
    <t>MTF 7000120063, ŠDaJ 7000078344, 7000307338, 7000460818</t>
  </si>
  <si>
    <t>MTF 7000120055, ŠDaJ 7000078352, 7000577522</t>
  </si>
  <si>
    <t>FIIT 7000115483</t>
  </si>
  <si>
    <t>SvF7000246205, 7000249780, 7000268818, 7000354409, 7000355292, 7000363727, 7000394400, 7000435698, 7000456165, 7000490531, 7000490558, 7000490574, 7000552907, 7000553416,7000553459,7000556510,7000572852,7000603575,7000605933,7000634507,7000627606,7000663828,7000523153, SjF 7000316832,7000085624,7000339321,7000223839,7000086061,700263144,7000085667,7000291233,700085704,7000355786,7000358389,7000416390,7000431021,7000437546,7000460199,7000439883,7000365853,7000467784,7000565265,7000574014,7000574022,7000574030,7000574049,7000574057, FEI 7000085018,7000085093,7000085106,7000085165,7000085181,7000085237,7000085317,7000085384,7000085421,7000085456,7000085499,7000208487,7000213825,7000220689,7000237042,7000245341,7000260349,7000262969,7000284607,7000293474,7000304567,7000314757,7000320444,7000324218,7000342635,7000388633,7000388641,7000402853,7000427665,7000433633,7000436818,7000442070,7000443292,7000445191,7000468588,7000540519,7000573062,7000573214,7000573425,7000573433,7000573441,7000577493,7000569645,7000590663,7000593864,7000593872,7000593880,7000595755,7000622434,7000622442,7000622450,7000627075, FCHPT 7000081447,7000081527,7000081535,7000081586,7000124099,7000154335,7000184374,7000197941,7000199875,7000202018,7000214473,7000214676,7000248278,7000258804,7000264278,7000270950,7000277856,7000303249,7000337182,7000339161,7000344569,7000351857,7000355815,7000371831,7000373044,7000376915,7000377029,7000382813,7000382821,7000402343,7000404007,7000429191,7000434214,7000451786,7000453300,7000457942,7000462629,7000464448,7000487594,7000490718,7000495981,7000502969,7000548289, FA 7000081949,7000609336,7000633870,7000213323,7000638145,7000569522, MTF 7000081367,7000246985,7000247419,7000255443,7000255451,7000258265,7000261122,7000261130,7000261915,7000327953,7000361676,7000361684,7000400719,7000442986,7000453917,7000453925,7000453933,7000465598,7000476350,7000476369,7000486997, FIIT 7000575893,7000244074,7000260680,7000500664, R 7000084074,7000301817,7000320380,7000323813,7000323821,7000341499,7000360331,7000538064,7000559738,7000568116,7000600147,7000633942,</t>
  </si>
  <si>
    <t>R 7000207089,7000227960, SvF 7000304372, FCHPT 7000153826, FIIT 7000365861,ŠDaJ 7000383197,</t>
  </si>
  <si>
    <t>SvF 7000084138,SjF 7000085608, FEI 7000084971, FCHPT 7000081500, FA 7000081914, MTF 7000081375, FIIT 7000085544, R 7000083987, ŠDaJ 7000525378, Gabčíkovo 7000590006</t>
  </si>
  <si>
    <t>SvF 7000084162, SjF 700085579, FEI 7000085026, FCHPT 7000081498, FA 7000081930, MTF 7000340365, FIIT 7000085560, R 7000084015,7000084090,7000203416,7000248040,7000372973, ŠDaJ 7000076234, Gabčíkovo 7000081631</t>
  </si>
  <si>
    <t>SvF 7000231222, FEI 7000578445, FCHPT 7000081471, MTF 7000120063, R 7000261931, ŠDaJ 7000640818</t>
  </si>
  <si>
    <t>SvF 7000084111,7000084146,7000359533,7000409887, SjF 7000324242,7000085595,7000255064,7000341800,7000442345,7000547614,7000085587,7000409289, FEI 7000409967, FCHPT 7000081463,7000081471,7000324226,7000409174, FA 7000081906,7000324234,7000409895, MTF 7000081404,7000226247,7000324402,7000470493,7000488239, FIIT 7000085552,7000409879, R 7000084007,7000406870,7000447218,7000489194, ŠDaJ 7000417529,</t>
  </si>
  <si>
    <t>FIIT - VÚB SK4502000000001802455853</t>
  </si>
  <si>
    <t>SjF a ŠDaJ</t>
  </si>
  <si>
    <t>68a</t>
  </si>
  <si>
    <t>- príspevok na rekreácie (527006)</t>
  </si>
  <si>
    <t>CRŠ</t>
  </si>
  <si>
    <t>A*</t>
  </si>
  <si>
    <t>Príjmy z MK SR</t>
  </si>
  <si>
    <t>BSK BA GUIDE</t>
  </si>
  <si>
    <t>Mesto Fiľakovo urbanistická štúdia</t>
  </si>
  <si>
    <t>2c</t>
  </si>
  <si>
    <t>Mesto Trnava Pracháreň</t>
  </si>
  <si>
    <t>2d</t>
  </si>
  <si>
    <t>Mesto Stropkov výskumné aktivity</t>
  </si>
  <si>
    <t>2e</t>
  </si>
  <si>
    <t>Mestská čast Bratislava - Ružinov obytná zóna</t>
  </si>
  <si>
    <t>2f</t>
  </si>
  <si>
    <t>Mestská čast Bratislava - Rača Račianska kúria</t>
  </si>
  <si>
    <t>2g</t>
  </si>
  <si>
    <t>Príjmy od ostatných subjektov VS</t>
  </si>
  <si>
    <t>Sponzorské dary a darovacie zmluvy</t>
  </si>
  <si>
    <t>Iné</t>
  </si>
  <si>
    <t>Príjmy na riešenie projektov výskumu a a inovácie</t>
  </si>
  <si>
    <t>4c</t>
  </si>
  <si>
    <t>Príjmy na riešenie projektov vzdelávania a soc. vecí</t>
  </si>
  <si>
    <t>4d</t>
  </si>
  <si>
    <t>4e</t>
  </si>
  <si>
    <t>4f</t>
  </si>
  <si>
    <t>4g</t>
  </si>
  <si>
    <t>4h</t>
  </si>
  <si>
    <t>4i</t>
  </si>
  <si>
    <t>Tempo, Erasmus, SAMRS, Horizont</t>
  </si>
  <si>
    <t>Interreg</t>
  </si>
  <si>
    <t>Škoda Auto</t>
  </si>
  <si>
    <t>MoMoWo</t>
  </si>
  <si>
    <t>ESA European Space Agency</t>
  </si>
  <si>
    <t>Visegrad V4+</t>
  </si>
  <si>
    <t>Program EÚ územnej spolupráce</t>
  </si>
  <si>
    <t>B*</t>
  </si>
  <si>
    <r>
      <t>účtovníctvo</t>
    </r>
    <r>
      <rPr>
        <b/>
        <sz val="12"/>
        <color rgb="FFFF0000"/>
        <rFont val="Times New Roman"/>
        <family val="1"/>
        <charset val="238"/>
      </rPr>
      <t xml:space="preserve"> 3*</t>
    </r>
  </si>
  <si>
    <t xml:space="preserve">  Porovnanie údajov o počte jedál pre študentov v tabuľke 10 a v štatistickom výkaze za STU</t>
  </si>
  <si>
    <t>Bratislava</t>
  </si>
  <si>
    <t>Trnava</t>
  </si>
  <si>
    <r>
      <t xml:space="preserve">  - počet podaných jedál s nárokom na dotáciu vo </t>
    </r>
    <r>
      <rPr>
        <b/>
        <sz val="12"/>
        <color indexed="10"/>
        <rFont val="Times New Roman"/>
        <family val="1"/>
        <charset val="238"/>
      </rPr>
      <t>vlastných ŠJ STU</t>
    </r>
  </si>
  <si>
    <r>
      <t xml:space="preserve">  - počet podaných jedál v </t>
    </r>
    <r>
      <rPr>
        <b/>
        <sz val="12"/>
        <color indexed="10"/>
        <rFont val="Times New Roman"/>
        <family val="1"/>
        <charset val="238"/>
      </rPr>
      <t>prenajatých jedálňach STU</t>
    </r>
    <r>
      <rPr>
        <sz val="12"/>
        <rFont val="Times New Roman"/>
        <family val="1"/>
        <charset val="238"/>
      </rPr>
      <t xml:space="preserve"> a </t>
    </r>
    <r>
      <rPr>
        <b/>
        <sz val="12"/>
        <color rgb="FFFF0000"/>
        <rFont val="Times New Roman"/>
        <family val="1"/>
        <charset val="238"/>
      </rPr>
      <t>zmluvných zariadeniach</t>
    </r>
    <r>
      <rPr>
        <b/>
        <sz val="12"/>
        <rFont val="Times New Roman"/>
        <family val="1"/>
        <charset val="238"/>
      </rPr>
      <t xml:space="preserve"> </t>
    </r>
    <r>
      <rPr>
        <sz val="12"/>
        <rFont val="Times New Roman"/>
        <family val="1"/>
        <charset val="238"/>
      </rPr>
      <t>s nárokom na dotáciu</t>
    </r>
  </si>
  <si>
    <t xml:space="preserve">  - SPOLU počet jedál s nárokom na dotáciu</t>
  </si>
  <si>
    <r>
      <t xml:space="preserve">  - počet jedál podaných študentom </t>
    </r>
    <r>
      <rPr>
        <b/>
        <sz val="12"/>
        <color indexed="10"/>
        <rFont val="Times New Roman"/>
        <family val="1"/>
        <charset val="238"/>
      </rPr>
      <t>bez nároku na dotáciu</t>
    </r>
    <r>
      <rPr>
        <sz val="12"/>
        <rFont val="Times New Roman"/>
        <family val="1"/>
        <charset val="238"/>
      </rPr>
      <t xml:space="preserve"> </t>
    </r>
    <r>
      <rPr>
        <sz val="12"/>
        <color indexed="18"/>
        <rFont val="Times New Roman"/>
        <family val="1"/>
        <charset val="238"/>
      </rPr>
      <t>-</t>
    </r>
    <r>
      <rPr>
        <sz val="12"/>
        <color indexed="17"/>
        <rFont val="Times New Roman"/>
        <family val="1"/>
        <charset val="238"/>
      </rPr>
      <t xml:space="preserve"> neuvádza sa do T10;</t>
    </r>
    <r>
      <rPr>
        <sz val="12"/>
        <color indexed="18"/>
        <rFont val="Times New Roman"/>
        <family val="1"/>
        <charset val="238"/>
      </rPr>
      <t xml:space="preserve"> do štatistiky áno</t>
    </r>
  </si>
  <si>
    <r>
      <t xml:space="preserve">  - </t>
    </r>
    <r>
      <rPr>
        <b/>
        <sz val="12"/>
        <color indexed="18"/>
        <rFont val="Times New Roman"/>
        <family val="1"/>
        <charset val="238"/>
      </rPr>
      <t>celkový</t>
    </r>
    <r>
      <rPr>
        <sz val="12"/>
        <color indexed="18"/>
        <rFont val="Times New Roman"/>
        <family val="1"/>
        <charset val="238"/>
      </rPr>
      <t xml:space="preserve"> počet jedál podaných študentom uvedený v</t>
    </r>
    <r>
      <rPr>
        <b/>
        <sz val="12"/>
        <color indexed="18"/>
        <rFont val="Times New Roman"/>
        <family val="1"/>
        <charset val="238"/>
      </rPr>
      <t xml:space="preserve"> štatistickom výkaze </t>
    </r>
    <r>
      <rPr>
        <sz val="12"/>
        <color indexed="18"/>
        <rFont val="Times New Roman"/>
        <family val="1"/>
        <charset val="238"/>
      </rPr>
      <t xml:space="preserve"> </t>
    </r>
  </si>
  <si>
    <t>APVVprojekty - spoluriešitelia</t>
  </si>
  <si>
    <t>T11_SB_R10a = T17_SC+SD_R10</t>
  </si>
  <si>
    <t>T12_R17_SG = výkazníctvo 2018, kategória 700, všetky zdroje</t>
  </si>
  <si>
    <t>SvF</t>
  </si>
  <si>
    <t>SjF</t>
  </si>
  <si>
    <t>FEI</t>
  </si>
  <si>
    <t>FCHPT</t>
  </si>
  <si>
    <t>FA</t>
  </si>
  <si>
    <t>MTF</t>
  </si>
  <si>
    <t>FIIT</t>
  </si>
  <si>
    <t>R STU</t>
  </si>
  <si>
    <t>T8_R1_SC+T19_R1_SC+T20_R3_(SC+SD)=T13_R11_SF</t>
  </si>
  <si>
    <t>úštovníctvo 3*</t>
  </si>
  <si>
    <t>ok</t>
  </si>
  <si>
    <t>SvF 7000468115, FIIT 7000324277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</si>
</sst>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S_k_-;\-* #,##0.00\ _S_k_-;_-* &quot;-&quot;??\ _S_k_-;_-@_-"/>
    <numFmt numFmtId="165" formatCode="#,##0_ ;[Red]\-#,##0\ "/>
    <numFmt numFmtId="166" formatCode="#,##0.00_ ;[Red]\-#,##0.00\ "/>
    <numFmt numFmtId="167" formatCode="#,##0.00_ ;\-#,##0.00\ "/>
  </numFmts>
  <fonts count="15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4"/>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strike/>
      <sz val="12"/>
      <color rgb="FFFF0000"/>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8"/>
      <color rgb="FFFF0000"/>
      <name val="Arial"/>
      <family val="2"/>
      <charset val="238"/>
    </font>
    <font>
      <sz val="8"/>
      <name val="Times New Roman"/>
      <family val="1"/>
      <charset val="238"/>
    </font>
    <font>
      <sz val="12"/>
      <color indexed="18"/>
      <name val="Times New Roman"/>
      <family val="1"/>
      <charset val="238"/>
    </font>
    <font>
      <sz val="12"/>
      <color indexed="17"/>
      <name val="Times New Roman"/>
      <family val="1"/>
      <charset val="238"/>
    </font>
    <font>
      <b/>
      <sz val="12"/>
      <color indexed="18"/>
      <name val="Times New Roman"/>
      <family val="1"/>
      <charset val="238"/>
    </font>
    <font>
      <sz val="10"/>
      <color indexed="18"/>
      <name val="Times New Roman"/>
      <family val="1"/>
      <charset val="238"/>
    </font>
    <font>
      <b/>
      <sz val="10"/>
      <color rgb="FF0070C0"/>
      <name val="Arial"/>
      <family val="2"/>
      <charset val="238"/>
    </font>
    <font>
      <b/>
      <sz val="10"/>
      <color rgb="FF0070C0"/>
      <name val="Times New Roman"/>
      <family val="1"/>
      <charset val="238"/>
    </font>
    <font>
      <sz val="12"/>
      <color theme="1"/>
      <name val="Calibri"/>
      <family val="2"/>
      <charset val="238"/>
      <scheme val="minor"/>
    </font>
    <font>
      <sz val="12"/>
      <color rgb="FFFF0000"/>
      <name val="Calibri"/>
      <family val="2"/>
      <scheme val="minor"/>
    </font>
    <font>
      <sz val="10"/>
      <color rgb="FF1F497D"/>
      <name val="Arial"/>
      <family val="2"/>
      <charset val="238"/>
    </font>
    <font>
      <sz val="16"/>
      <color rgb="FFFF0000"/>
      <name val="Times New Roman"/>
      <family val="1"/>
    </font>
    <font>
      <sz val="10"/>
      <name val="Arial"/>
      <family val="2"/>
      <charset val="238"/>
    </font>
    <font>
      <sz val="10"/>
      <color rgb="FF7030A0"/>
      <name val="Arial"/>
      <family val="2"/>
      <charset val="238"/>
    </font>
    <font>
      <sz val="10"/>
      <name val="MS Sans Serif"/>
      <charset val="238"/>
    </font>
    <font>
      <sz val="14"/>
      <name val="Arial"/>
      <family val="2"/>
      <charset val="238"/>
    </font>
    <font>
      <sz val="14"/>
      <name val="MS Sans Serif"/>
      <charset val="238"/>
    </font>
    <font>
      <sz val="11"/>
      <name val="Arial"/>
      <family val="2"/>
      <charset val="238"/>
    </font>
    <font>
      <sz val="8"/>
      <name val="MS Sans Serif"/>
      <charset val="238"/>
    </font>
    <font>
      <sz val="12"/>
      <name val="Calibri"/>
      <family val="2"/>
      <charset val="238"/>
      <scheme val="minor"/>
    </font>
    <font>
      <b/>
      <sz val="12"/>
      <color rgb="FFFF0000"/>
      <name val="Calibri"/>
      <family val="2"/>
      <charset val="238"/>
      <scheme val="minor"/>
    </font>
    <font>
      <b/>
      <sz val="10"/>
      <color rgb="FFFF0000"/>
      <name val="Arial"/>
      <family val="2"/>
      <charset val="238"/>
    </font>
    <font>
      <sz val="10"/>
      <color rgb="FFFF0000"/>
      <name val="Times New Roman"/>
      <family val="1"/>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CFFCC"/>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1">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164" fontId="3" fillId="0" borderId="0" applyFont="0" applyFill="0" applyBorder="0" applyAlignment="0" applyProtection="0"/>
    <xf numFmtId="164" fontId="21"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alignment vertical="top"/>
      <protection locked="0"/>
    </xf>
    <xf numFmtId="0" fontId="52" fillId="21" borderId="5" applyNumberFormat="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21" fillId="0" borderId="0"/>
    <xf numFmtId="0" fontId="81" fillId="0" borderId="0"/>
    <xf numFmtId="0" fontId="21" fillId="0" borderId="0"/>
    <xf numFmtId="0" fontId="21" fillId="0" borderId="0"/>
    <xf numFmtId="0" fontId="64" fillId="0" borderId="0"/>
    <xf numFmtId="0" fontId="25" fillId="0" borderId="0"/>
    <xf numFmtId="0" fontId="46" fillId="23" borderId="7" applyNumberFormat="0" applyFont="0" applyAlignment="0" applyProtection="0"/>
    <xf numFmtId="0" fontId="56" fillId="20" borderId="8" applyNumberFormat="0" applyAlignment="0" applyProtection="0"/>
    <xf numFmtId="4" fontId="16" fillId="22" borderId="9" applyNumberFormat="0" applyProtection="0">
      <alignment vertical="center"/>
    </xf>
    <xf numFmtId="4" fontId="17" fillId="24" borderId="9" applyNumberFormat="0" applyProtection="0">
      <alignment vertical="center"/>
    </xf>
    <xf numFmtId="4" fontId="16" fillId="24" borderId="9" applyNumberFormat="0" applyProtection="0">
      <alignment horizontal="left" vertical="center" indent="1"/>
    </xf>
    <xf numFmtId="0" fontId="16" fillId="24" borderId="9" applyNumberFormat="0" applyProtection="0">
      <alignment horizontal="left" vertical="top" indent="1"/>
    </xf>
    <xf numFmtId="4" fontId="18" fillId="3" borderId="9" applyNumberFormat="0" applyProtection="0">
      <alignment horizontal="right" vertical="center"/>
    </xf>
    <xf numFmtId="4" fontId="18" fillId="9" borderId="9" applyNumberFormat="0" applyProtection="0">
      <alignment horizontal="right" vertical="center"/>
    </xf>
    <xf numFmtId="4" fontId="18" fillId="17" borderId="9" applyNumberFormat="0" applyProtection="0">
      <alignment horizontal="right" vertical="center"/>
    </xf>
    <xf numFmtId="4" fontId="18" fillId="11" borderId="9" applyNumberFormat="0" applyProtection="0">
      <alignment horizontal="right" vertical="center"/>
    </xf>
    <xf numFmtId="4" fontId="18" fillId="15" borderId="9" applyNumberFormat="0" applyProtection="0">
      <alignment horizontal="right" vertical="center"/>
    </xf>
    <xf numFmtId="4" fontId="18" fillId="19" borderId="9" applyNumberFormat="0" applyProtection="0">
      <alignment horizontal="right" vertical="center"/>
    </xf>
    <xf numFmtId="4" fontId="18" fillId="18" borderId="9" applyNumberFormat="0" applyProtection="0">
      <alignment horizontal="right" vertical="center"/>
    </xf>
    <xf numFmtId="4" fontId="18" fillId="25" borderId="9" applyNumberFormat="0" applyProtection="0">
      <alignment horizontal="right" vertical="center"/>
    </xf>
    <xf numFmtId="4" fontId="18" fillId="10" borderId="9" applyNumberFormat="0" applyProtection="0">
      <alignment horizontal="right" vertical="center"/>
    </xf>
    <xf numFmtId="4" fontId="16" fillId="26" borderId="10" applyNumberFormat="0" applyProtection="0">
      <alignment horizontal="left" vertical="center" indent="1"/>
    </xf>
    <xf numFmtId="4" fontId="18" fillId="27" borderId="0" applyNumberFormat="0" applyProtection="0">
      <alignment horizontal="left" vertical="center" indent="1"/>
    </xf>
    <xf numFmtId="4" fontId="19" fillId="28" borderId="0" applyNumberFormat="0" applyProtection="0">
      <alignment horizontal="left" vertical="center" indent="1"/>
    </xf>
    <xf numFmtId="4" fontId="18" fillId="29" borderId="9" applyNumberFormat="0" applyProtection="0">
      <alignment horizontal="right" vertical="center"/>
    </xf>
    <xf numFmtId="4" fontId="20" fillId="27" borderId="0" applyNumberFormat="0" applyProtection="0">
      <alignment horizontal="left" vertical="center" indent="1"/>
    </xf>
    <xf numFmtId="4" fontId="20" fillId="30" borderId="0" applyNumberFormat="0" applyProtection="0">
      <alignment horizontal="left" vertical="center" indent="1"/>
    </xf>
    <xf numFmtId="0" fontId="21" fillId="28" borderId="9" applyNumberFormat="0" applyProtection="0">
      <alignment horizontal="left" vertical="center" indent="1"/>
    </xf>
    <xf numFmtId="0" fontId="21" fillId="28" borderId="9" applyNumberFormat="0" applyProtection="0">
      <alignment horizontal="left" vertical="top" indent="1"/>
    </xf>
    <xf numFmtId="0" fontId="21" fillId="30" borderId="9" applyNumberFormat="0" applyProtection="0">
      <alignment horizontal="left" vertical="center" indent="1"/>
    </xf>
    <xf numFmtId="0" fontId="21" fillId="30" borderId="9" applyNumberFormat="0" applyProtection="0">
      <alignment horizontal="left" vertical="top" indent="1"/>
    </xf>
    <xf numFmtId="0" fontId="21" fillId="31" borderId="9" applyNumberFormat="0" applyProtection="0">
      <alignment horizontal="left" vertical="center" indent="1"/>
    </xf>
    <xf numFmtId="0" fontId="21" fillId="31" borderId="9" applyNumberFormat="0" applyProtection="0">
      <alignment horizontal="left" vertical="top" indent="1"/>
    </xf>
    <xf numFmtId="0" fontId="21" fillId="32" borderId="9" applyNumberFormat="0" applyProtection="0">
      <alignment horizontal="left" vertical="center" indent="1"/>
    </xf>
    <xf numFmtId="0" fontId="21" fillId="32" borderId="9" applyNumberFormat="0" applyProtection="0">
      <alignment horizontal="left" vertical="top" indent="1"/>
    </xf>
    <xf numFmtId="4" fontId="16" fillId="30" borderId="0" applyNumberFormat="0" applyProtection="0">
      <alignment horizontal="left" vertical="center" indent="1"/>
    </xf>
    <xf numFmtId="4" fontId="18" fillId="33" borderId="9" applyNumberFormat="0" applyProtection="0">
      <alignment vertical="center"/>
    </xf>
    <xf numFmtId="4" fontId="22" fillId="33" borderId="9" applyNumberFormat="0" applyProtection="0">
      <alignment vertical="center"/>
    </xf>
    <xf numFmtId="4" fontId="18" fillId="33" borderId="9" applyNumberFormat="0" applyProtection="0">
      <alignment horizontal="left" vertical="center" indent="1"/>
    </xf>
    <xf numFmtId="0" fontId="18" fillId="33" borderId="9" applyNumberFormat="0" applyProtection="0">
      <alignment horizontal="left" vertical="top" indent="1"/>
    </xf>
    <xf numFmtId="4" fontId="18" fillId="27" borderId="9" applyNumberFormat="0" applyProtection="0">
      <alignment horizontal="right" vertical="center"/>
    </xf>
    <xf numFmtId="4" fontId="22" fillId="27" borderId="9" applyNumberFormat="0" applyProtection="0">
      <alignment horizontal="right" vertical="center"/>
    </xf>
    <xf numFmtId="4" fontId="18" fillId="29" borderId="9" applyNumberFormat="0" applyProtection="0">
      <alignment horizontal="left" vertical="center" indent="1"/>
    </xf>
    <xf numFmtId="0" fontId="18" fillId="30" borderId="9" applyNumberFormat="0" applyProtection="0">
      <alignment horizontal="left" vertical="top" indent="1"/>
    </xf>
    <xf numFmtId="4" fontId="23" fillId="34" borderId="0" applyNumberFormat="0" applyProtection="0">
      <alignment horizontal="left" vertical="center" indent="1"/>
    </xf>
    <xf numFmtId="4" fontId="24"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27" fillId="0" borderId="0"/>
    <xf numFmtId="0" fontId="10" fillId="23" borderId="7" applyNumberFormat="0" applyFont="0" applyAlignment="0" applyProtection="0"/>
    <xf numFmtId="0" fontId="3" fillId="28" borderId="9" applyNumberFormat="0" applyProtection="0">
      <alignment horizontal="left" vertical="center" indent="1"/>
    </xf>
    <xf numFmtId="0" fontId="3" fillId="28" borderId="9" applyNumberFormat="0" applyProtection="0">
      <alignment horizontal="left" vertical="top" indent="1"/>
    </xf>
    <xf numFmtId="0" fontId="3" fillId="30" borderId="9" applyNumberFormat="0" applyProtection="0">
      <alignment horizontal="left" vertical="center" indent="1"/>
    </xf>
    <xf numFmtId="0" fontId="3" fillId="30" borderId="9" applyNumberFormat="0" applyProtection="0">
      <alignment horizontal="left" vertical="top" indent="1"/>
    </xf>
    <xf numFmtId="0" fontId="3" fillId="31" borderId="9" applyNumberFormat="0" applyProtection="0">
      <alignment horizontal="left" vertical="center" indent="1"/>
    </xf>
    <xf numFmtId="0" fontId="3" fillId="31" borderId="9" applyNumberFormat="0" applyProtection="0">
      <alignment horizontal="left" vertical="top" indent="1"/>
    </xf>
    <xf numFmtId="0" fontId="3" fillId="32" borderId="9" applyNumberFormat="0" applyProtection="0">
      <alignment horizontal="left" vertical="center" indent="1"/>
    </xf>
    <xf numFmtId="0" fontId="3" fillId="32" borderId="9" applyNumberFormat="0" applyProtection="0">
      <alignment horizontal="left" vertical="top" indent="1"/>
    </xf>
    <xf numFmtId="0" fontId="2" fillId="0" borderId="0"/>
    <xf numFmtId="0" fontId="139" fillId="0" borderId="0"/>
    <xf numFmtId="0" fontId="81" fillId="0" borderId="0"/>
    <xf numFmtId="0" fontId="1" fillId="0" borderId="0"/>
    <xf numFmtId="0" fontId="141" fillId="0" borderId="0"/>
    <xf numFmtId="0" fontId="27" fillId="0" borderId="0"/>
  </cellStyleXfs>
  <cellXfs count="1153">
    <xf numFmtId="0" fontId="0" fillId="0" borderId="0" xfId="0"/>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49" fontId="5" fillId="0" borderId="0" xfId="0" applyNumberFormat="1" applyFont="1"/>
    <xf numFmtId="0" fontId="6" fillId="0" borderId="0" xfId="0" applyFont="1" applyAlignment="1">
      <alignment horizontal="center" vertical="center" wrapText="1"/>
    </xf>
    <xf numFmtId="49" fontId="5" fillId="0" borderId="0" xfId="0" applyNumberFormat="1" applyFont="1" applyBorder="1"/>
    <xf numFmtId="49" fontId="5" fillId="0" borderId="0" xfId="0" applyNumberFormat="1" applyFont="1" applyAlignment="1">
      <alignment horizontal="left" vertical="center"/>
    </xf>
    <xf numFmtId="0" fontId="4" fillId="0" borderId="0" xfId="0" applyFont="1"/>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left" vertical="center" wrapText="1"/>
    </xf>
    <xf numFmtId="49" fontId="5" fillId="0" borderId="13" xfId="0" applyNumberFormat="1" applyFont="1" applyBorder="1" applyAlignment="1">
      <alignment horizontal="left" vertical="center" wrapText="1" indent="1"/>
    </xf>
    <xf numFmtId="49" fontId="4" fillId="0" borderId="13" xfId="0" applyNumberFormat="1" applyFont="1" applyBorder="1" applyAlignment="1">
      <alignment vertical="top"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14" xfId="0" applyFont="1" applyBorder="1" applyAlignment="1">
      <alignment horizontal="center" vertical="center" wrapText="1"/>
    </xf>
    <xf numFmtId="0" fontId="10" fillId="0" borderId="0" xfId="0" applyFont="1" applyAlignment="1">
      <alignment horizontal="left" vertical="center" wrapText="1"/>
    </xf>
    <xf numFmtId="0" fontId="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0" xfId="0" applyFont="1" applyFill="1"/>
    <xf numFmtId="49" fontId="4" fillId="0" borderId="13" xfId="0" applyNumberFormat="1" applyFont="1" applyBorder="1" applyAlignment="1">
      <alignment horizontal="left" vertical="center" wrapText="1" indent="1"/>
    </xf>
    <xf numFmtId="49" fontId="5" fillId="0" borderId="13" xfId="0" applyNumberFormat="1" applyFont="1" applyFill="1" applyBorder="1" applyAlignment="1">
      <alignment horizontal="left" vertical="center" wrapText="1" indent="1"/>
    </xf>
    <xf numFmtId="49" fontId="4" fillId="0" borderId="17" xfId="0" applyNumberFormat="1" applyFont="1" applyBorder="1" applyAlignment="1">
      <alignment horizontal="left" vertical="center" wrapText="1" indent="1"/>
    </xf>
    <xf numFmtId="49" fontId="5" fillId="0" borderId="0"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3" fontId="4" fillId="24" borderId="13" xfId="0" applyNumberFormat="1" applyFont="1" applyFill="1" applyBorder="1" applyAlignment="1">
      <alignment horizontal="right" vertical="center" wrapText="1" indent="1"/>
    </xf>
    <xf numFmtId="3" fontId="4" fillId="24" borderId="14"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indent="1"/>
    </xf>
    <xf numFmtId="3" fontId="4" fillId="24" borderId="17" xfId="0" applyNumberFormat="1" applyFont="1" applyFill="1" applyBorder="1" applyAlignment="1" applyProtection="1">
      <alignment horizontal="right" vertical="center" wrapText="1" indent="1"/>
    </xf>
    <xf numFmtId="3" fontId="4" fillId="24" borderId="18" xfId="0" applyNumberFormat="1" applyFont="1" applyFill="1" applyBorder="1" applyAlignment="1">
      <alignment horizontal="right" vertical="center" wrapText="1" indent="1"/>
    </xf>
    <xf numFmtId="3" fontId="5" fillId="35" borderId="14" xfId="0" applyNumberFormat="1" applyFont="1" applyFill="1" applyBorder="1" applyAlignment="1">
      <alignment horizontal="right" vertical="center" wrapText="1" indent="1"/>
    </xf>
    <xf numFmtId="49" fontId="4" fillId="0" borderId="13" xfId="0" applyNumberFormat="1" applyFont="1" applyBorder="1" applyAlignment="1">
      <alignment horizontal="left" vertical="top" wrapText="1" indent="1"/>
    </xf>
    <xf numFmtId="49" fontId="5" fillId="0" borderId="13" xfId="0" applyNumberFormat="1" applyFont="1" applyBorder="1" applyAlignment="1">
      <alignment horizontal="left" vertical="top" wrapText="1" indent="1"/>
    </xf>
    <xf numFmtId="3" fontId="9" fillId="24" borderId="13" xfId="0" applyNumberFormat="1" applyFont="1" applyFill="1" applyBorder="1" applyAlignment="1">
      <alignment horizontal="right" vertical="center" wrapText="1" indent="1"/>
    </xf>
    <xf numFmtId="3" fontId="9" fillId="24" borderId="17" xfId="0" applyNumberFormat="1" applyFont="1" applyFill="1" applyBorder="1" applyAlignment="1">
      <alignment horizontal="right" vertical="center" wrapText="1" indent="1"/>
    </xf>
    <xf numFmtId="49" fontId="4" fillId="0" borderId="13" xfId="0" applyNumberFormat="1" applyFont="1" applyFill="1" applyBorder="1" applyAlignment="1">
      <alignment horizontal="left" vertical="center" wrapText="1" indent="1"/>
    </xf>
    <xf numFmtId="49" fontId="4" fillId="0" borderId="17" xfId="0" applyNumberFormat="1" applyFont="1" applyFill="1" applyBorder="1" applyAlignment="1">
      <alignment horizontal="left" vertical="center" wrapText="1" indent="1"/>
    </xf>
    <xf numFmtId="3" fontId="5" fillId="0" borderId="13" xfId="0" applyNumberFormat="1" applyFont="1" applyFill="1" applyBorder="1" applyAlignment="1">
      <alignment horizontal="right" vertical="center" wrapText="1" indent="1"/>
    </xf>
    <xf numFmtId="0" fontId="9" fillId="24" borderId="14" xfId="0" applyFont="1" applyFill="1" applyBorder="1" applyAlignment="1">
      <alignment horizontal="right" vertical="center" wrapText="1" indent="1"/>
    </xf>
    <xf numFmtId="0" fontId="9" fillId="0" borderId="13"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Alignment="1">
      <alignment horizontal="left" vertical="center" wrapText="1" indent="1"/>
    </xf>
    <xf numFmtId="49" fontId="5" fillId="0" borderId="0" xfId="0" applyNumberFormat="1" applyFont="1" applyAlignment="1">
      <alignment vertical="center" wrapText="1"/>
    </xf>
    <xf numFmtId="3" fontId="9" fillId="0" borderId="0" xfId="45" applyNumberFormat="1" applyFont="1" applyBorder="1" applyAlignment="1">
      <alignment vertical="center" wrapText="1"/>
    </xf>
    <xf numFmtId="3" fontId="9" fillId="0" borderId="0" xfId="45" applyNumberFormat="1" applyFont="1" applyBorder="1" applyAlignment="1">
      <alignment horizontal="center" vertical="center" wrapText="1"/>
    </xf>
    <xf numFmtId="3" fontId="10" fillId="0" borderId="0" xfId="45" applyNumberFormat="1"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10" fillId="24" borderId="18" xfId="0" applyFont="1" applyFill="1" applyBorder="1" applyAlignment="1">
      <alignment horizontal="right" vertical="center" wrapText="1" indent="1"/>
    </xf>
    <xf numFmtId="3" fontId="9" fillId="0" borderId="14"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indent="1"/>
    </xf>
    <xf numFmtId="0" fontId="9" fillId="0" borderId="17" xfId="0" applyFont="1" applyBorder="1" applyAlignment="1">
      <alignment horizontal="left" vertical="center" wrapText="1" indent="1"/>
    </xf>
    <xf numFmtId="3" fontId="5" fillId="0" borderId="13" xfId="0" applyNumberFormat="1" applyFont="1" applyBorder="1" applyAlignment="1">
      <alignment horizontal="center" vertical="center" wrapText="1"/>
    </xf>
    <xf numFmtId="3" fontId="9" fillId="35" borderId="14"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xf>
    <xf numFmtId="3" fontId="5" fillId="0" borderId="14"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49" fontId="4" fillId="0" borderId="13" xfId="0" applyNumberFormat="1" applyFont="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Border="1"/>
    <xf numFmtId="0" fontId="9" fillId="0" borderId="13" xfId="0" applyFont="1" applyBorder="1" applyAlignment="1">
      <alignment horizontal="left" vertical="center" wrapText="1"/>
    </xf>
    <xf numFmtId="0" fontId="9" fillId="0" borderId="13" xfId="0" applyFont="1" applyFill="1" applyBorder="1" applyAlignment="1">
      <alignment horizontal="left" vertical="center" wrapText="1" indent="1"/>
    </xf>
    <xf numFmtId="0" fontId="10" fillId="0" borderId="0" xfId="0" applyFont="1"/>
    <xf numFmtId="1" fontId="5" fillId="0" borderId="13" xfId="0" applyNumberFormat="1" applyFont="1" applyFill="1" applyBorder="1" applyAlignment="1">
      <alignment horizontal="center" vertical="center" wrapText="1"/>
    </xf>
    <xf numFmtId="49" fontId="9" fillId="0" borderId="17" xfId="0" applyNumberFormat="1" applyFont="1" applyFill="1" applyBorder="1" applyAlignment="1">
      <alignment horizontal="left" vertical="center" wrapText="1" indent="1"/>
    </xf>
    <xf numFmtId="49" fontId="9" fillId="0" borderId="13" xfId="0" applyNumberFormat="1" applyFont="1" applyBorder="1" applyAlignment="1">
      <alignment vertical="center" wrapText="1"/>
    </xf>
    <xf numFmtId="0" fontId="9"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3" xfId="45" applyFont="1" applyBorder="1" applyAlignment="1">
      <alignment horizontal="center" vertical="center" wrapText="1"/>
    </xf>
    <xf numFmtId="3" fontId="10" fillId="0" borderId="13" xfId="45" applyNumberFormat="1" applyFont="1" applyBorder="1" applyAlignment="1">
      <alignment horizontal="center" vertical="center" wrapText="1"/>
    </xf>
    <xf numFmtId="0" fontId="9" fillId="0" borderId="14" xfId="45" applyFont="1" applyBorder="1" applyAlignment="1">
      <alignment horizontal="center" vertical="center" wrapText="1"/>
    </xf>
    <xf numFmtId="3" fontId="10" fillId="0" borderId="15" xfId="45" applyNumberFormat="1" applyFont="1" applyBorder="1" applyAlignment="1">
      <alignment vertical="center" wrapText="1"/>
    </xf>
    <xf numFmtId="3" fontId="10" fillId="0" borderId="14" xfId="45" applyNumberFormat="1" applyFont="1" applyBorder="1" applyAlignment="1">
      <alignment horizontal="center" vertical="center" wrapText="1"/>
    </xf>
    <xf numFmtId="3" fontId="10" fillId="0" borderId="16" xfId="45"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3" xfId="0" applyFont="1" applyBorder="1" applyAlignment="1">
      <alignment horizontal="left" vertical="center" wrapText="1" indent="1"/>
    </xf>
    <xf numFmtId="0" fontId="10" fillId="0" borderId="13" xfId="0" applyFont="1" applyBorder="1" applyAlignment="1">
      <alignment horizontal="center" vertical="center" wrapText="1"/>
    </xf>
    <xf numFmtId="0" fontId="9" fillId="0" borderId="15" xfId="0" applyFont="1" applyBorder="1" applyAlignment="1">
      <alignment horizontal="left" vertical="center" wrapText="1" indent="1"/>
    </xf>
    <xf numFmtId="0" fontId="9" fillId="0" borderId="19" xfId="0" applyFont="1" applyBorder="1" applyAlignment="1">
      <alignment horizontal="left" vertical="center" wrapText="1" indent="1"/>
    </xf>
    <xf numFmtId="49" fontId="10" fillId="0" borderId="13" xfId="0" applyNumberFormat="1" applyFont="1" applyBorder="1" applyAlignment="1">
      <alignment horizontal="left" vertical="center" wrapText="1" indent="1"/>
    </xf>
    <xf numFmtId="0" fontId="10" fillId="0" borderId="0" xfId="0" applyFont="1" applyFill="1" applyAlignment="1">
      <alignment vertical="center" wrapText="1"/>
    </xf>
    <xf numFmtId="0" fontId="10" fillId="0" borderId="0" xfId="0" applyFont="1" applyFill="1" applyAlignment="1">
      <alignment horizontal="left" vertical="center" wrapText="1" indent="1"/>
    </xf>
    <xf numFmtId="0" fontId="10" fillId="0" borderId="0" xfId="0" applyFont="1" applyFill="1" applyAlignment="1">
      <alignment horizontal="left" vertical="center" wrapText="1" indent="3"/>
    </xf>
    <xf numFmtId="0" fontId="10" fillId="0" borderId="0" xfId="0" applyFont="1" applyFill="1" applyAlignment="1">
      <alignment horizontal="left" vertical="center" wrapText="1" indent="2"/>
    </xf>
    <xf numFmtId="0" fontId="4" fillId="0" borderId="20" xfId="0" applyFont="1" applyBorder="1" applyAlignment="1">
      <alignment horizontal="center" vertical="center" wrapText="1"/>
    </xf>
    <xf numFmtId="0" fontId="35" fillId="0" borderId="0" xfId="0" applyFont="1" applyBorder="1"/>
    <xf numFmtId="0" fontId="5" fillId="0" borderId="0" xfId="0" applyFont="1" applyFill="1" applyAlignment="1">
      <alignment vertical="center" wrapText="1"/>
    </xf>
    <xf numFmtId="0" fontId="0" fillId="0" borderId="0" xfId="0" applyFill="1"/>
    <xf numFmtId="0" fontId="32" fillId="0" borderId="0" xfId="0" applyFont="1" applyFill="1" applyAlignment="1">
      <alignment vertical="center" wrapText="1"/>
    </xf>
    <xf numFmtId="0" fontId="4" fillId="0" borderId="22" xfId="0" applyFont="1" applyBorder="1" applyAlignment="1">
      <alignment vertical="center" wrapText="1"/>
    </xf>
    <xf numFmtId="0" fontId="38" fillId="0" borderId="0" xfId="0" applyFont="1"/>
    <xf numFmtId="0" fontId="9" fillId="0" borderId="23" xfId="0" applyFont="1" applyFill="1" applyBorder="1" applyAlignment="1">
      <alignment horizontal="center" vertical="center" wrapText="1"/>
    </xf>
    <xf numFmtId="0" fontId="9" fillId="0" borderId="0" xfId="0" applyFont="1" applyFill="1" applyAlignment="1">
      <alignment vertical="center" wrapText="1"/>
    </xf>
    <xf numFmtId="49" fontId="11" fillId="0" borderId="0" xfId="0" applyNumberFormat="1" applyFont="1" applyAlignment="1">
      <alignment horizontal="left" vertical="center" wrapText="1" indent="1"/>
    </xf>
    <xf numFmtId="49" fontId="10" fillId="0" borderId="13" xfId="0" applyNumberFormat="1" applyFont="1" applyFill="1" applyBorder="1" applyAlignment="1">
      <alignment horizontal="left" vertical="center" wrapText="1" indent="1"/>
    </xf>
    <xf numFmtId="0" fontId="0" fillId="0" borderId="0" xfId="0" applyAlignment="1">
      <alignment wrapText="1"/>
    </xf>
    <xf numFmtId="1" fontId="9" fillId="24" borderId="13" xfId="0" applyNumberFormat="1" applyFont="1" applyFill="1" applyBorder="1" applyAlignment="1">
      <alignment horizontal="right" vertical="center" wrapText="1" indent="1"/>
    </xf>
    <xf numFmtId="0" fontId="10" fillId="0" borderId="15" xfId="0" applyFont="1" applyFill="1" applyBorder="1" applyAlignment="1">
      <alignment horizontal="center" vertical="center" wrapText="1"/>
    </xf>
    <xf numFmtId="3" fontId="4" fillId="0" borderId="14" xfId="0" applyNumberFormat="1" applyFont="1" applyFill="1" applyBorder="1" applyAlignment="1">
      <alignment horizontal="right" vertical="center" wrapText="1" indent="1"/>
    </xf>
    <xf numFmtId="49" fontId="5" fillId="0" borderId="0" xfId="0" applyNumberFormat="1" applyFont="1" applyAlignment="1">
      <alignment horizontal="left" wrapText="1"/>
    </xf>
    <xf numFmtId="0" fontId="5" fillId="0" borderId="0" xfId="0" applyFont="1" applyAlignment="1">
      <alignment horizontal="justify"/>
    </xf>
    <xf numFmtId="0" fontId="5" fillId="0" borderId="16" xfId="0" applyFont="1" applyFill="1" applyBorder="1" applyAlignment="1">
      <alignment horizontal="center" vertical="center"/>
    </xf>
    <xf numFmtId="0" fontId="4" fillId="0" borderId="17" xfId="0" applyFont="1" applyFill="1" applyBorder="1" applyAlignment="1">
      <alignment horizontal="left" wrapText="1" indent="1"/>
    </xf>
    <xf numFmtId="49" fontId="5" fillId="0" borderId="0" xfId="0" applyNumberFormat="1" applyFont="1" applyAlignment="1">
      <alignment horizontal="left" wrapText="1" indent="1"/>
    </xf>
    <xf numFmtId="0" fontId="5" fillId="0" borderId="0" xfId="0" applyFont="1" applyAlignment="1">
      <alignment vertical="center"/>
    </xf>
    <xf numFmtId="0" fontId="0" fillId="0" borderId="0" xfId="0" applyAlignment="1">
      <alignment vertical="center"/>
    </xf>
    <xf numFmtId="0" fontId="27" fillId="0" borderId="0" xfId="0" applyFont="1" applyBorder="1" applyAlignment="1">
      <alignment vertical="center"/>
    </xf>
    <xf numFmtId="0" fontId="4" fillId="0" borderId="15" xfId="0" applyFont="1" applyFill="1" applyBorder="1" applyAlignment="1">
      <alignment horizontal="center" vertical="center" wrapText="1"/>
    </xf>
    <xf numFmtId="0" fontId="27" fillId="35" borderId="14" xfId="0" applyFont="1" applyFill="1" applyBorder="1" applyAlignment="1">
      <alignment horizontal="left" vertical="center" wrapText="1" indent="1"/>
    </xf>
    <xf numFmtId="3" fontId="9" fillId="24" borderId="14" xfId="0" applyNumberFormat="1" applyFont="1" applyFill="1" applyBorder="1" applyAlignment="1">
      <alignment horizontal="right" vertical="center" wrapText="1" indent="1"/>
    </xf>
    <xf numFmtId="3" fontId="5" fillId="0" borderId="14" xfId="0" applyNumberFormat="1" applyFont="1" applyFill="1" applyBorder="1" applyAlignment="1">
      <alignment horizontal="right" vertical="center" wrapText="1" indent="1"/>
    </xf>
    <xf numFmtId="3" fontId="10" fillId="35" borderId="13" xfId="0" applyNumberFormat="1" applyFont="1" applyFill="1" applyBorder="1" applyAlignment="1">
      <alignment horizontal="right" vertical="center" wrapText="1" indent="1"/>
    </xf>
    <xf numFmtId="3" fontId="9" fillId="24" borderId="18" xfId="0" applyNumberFormat="1" applyFont="1" applyFill="1" applyBorder="1" applyAlignment="1">
      <alignment horizontal="right" vertical="center" wrapText="1" indent="1"/>
    </xf>
    <xf numFmtId="3" fontId="10" fillId="24" borderId="13" xfId="0" applyNumberFormat="1" applyFont="1" applyFill="1" applyBorder="1" applyAlignment="1">
      <alignment horizontal="right" vertical="center" wrapText="1" indent="1"/>
    </xf>
    <xf numFmtId="3" fontId="10" fillId="24" borderId="14" xfId="0" applyNumberFormat="1" applyFont="1" applyFill="1" applyBorder="1" applyAlignment="1">
      <alignment horizontal="right" vertical="center" wrapText="1" indent="1"/>
    </xf>
    <xf numFmtId="3" fontId="10" fillId="35" borderId="14" xfId="0" applyNumberFormat="1" applyFont="1" applyFill="1" applyBorder="1" applyAlignment="1">
      <alignment horizontal="right" vertical="center" wrapText="1" indent="1"/>
    </xf>
    <xf numFmtId="3" fontId="9" fillId="35" borderId="20" xfId="0" applyNumberFormat="1" applyFont="1" applyFill="1" applyBorder="1" applyAlignment="1">
      <alignment horizontal="right" vertical="center" wrapText="1" indent="1"/>
    </xf>
    <xf numFmtId="3" fontId="10" fillId="0" borderId="13"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9" fillId="24" borderId="27" xfId="0" applyNumberFormat="1" applyFont="1" applyFill="1" applyBorder="1" applyAlignment="1">
      <alignment horizontal="right" vertical="center" wrapText="1" indent="1"/>
    </xf>
    <xf numFmtId="3" fontId="9" fillId="35" borderId="27" xfId="0" applyNumberFormat="1" applyFont="1" applyFill="1" applyBorder="1" applyAlignment="1">
      <alignment horizontal="right" vertical="center" wrapText="1" indent="1"/>
    </xf>
    <xf numFmtId="3" fontId="9" fillId="24" borderId="20" xfId="0" applyNumberFormat="1" applyFont="1" applyFill="1" applyBorder="1" applyAlignment="1">
      <alignment horizontal="right" vertical="center" wrapText="1" indent="1"/>
    </xf>
    <xf numFmtId="3" fontId="9" fillId="24" borderId="28" xfId="0" applyNumberFormat="1" applyFont="1" applyFill="1" applyBorder="1" applyAlignment="1">
      <alignment horizontal="right" vertical="center" wrapText="1" indent="1"/>
    </xf>
    <xf numFmtId="3" fontId="10" fillId="0" borderId="17" xfId="0" applyNumberFormat="1" applyFont="1" applyBorder="1" applyAlignment="1">
      <alignment horizontal="center" vertical="center" wrapText="1"/>
    </xf>
    <xf numFmtId="3" fontId="10" fillId="0" borderId="18" xfId="0" applyNumberFormat="1" applyFont="1" applyBorder="1" applyAlignment="1">
      <alignment horizontal="center" vertical="center" wrapText="1"/>
    </xf>
    <xf numFmtId="1" fontId="5" fillId="35" borderId="19" xfId="0" applyNumberFormat="1" applyFont="1" applyFill="1" applyBorder="1" applyAlignment="1">
      <alignment horizontal="right" vertical="center" wrapText="1" indent="1"/>
    </xf>
    <xf numFmtId="1" fontId="9" fillId="0" borderId="17" xfId="0" applyNumberFormat="1" applyFont="1" applyFill="1" applyBorder="1" applyAlignment="1">
      <alignment horizontal="right" vertical="center" wrapText="1" indent="1"/>
    </xf>
    <xf numFmtId="1" fontId="5" fillId="35" borderId="17"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indent="1"/>
    </xf>
    <xf numFmtId="3" fontId="9" fillId="24" borderId="14" xfId="0" applyNumberFormat="1" applyFont="1" applyFill="1" applyBorder="1" applyAlignment="1">
      <alignment horizontal="right" vertical="center" indent="1"/>
    </xf>
    <xf numFmtId="0" fontId="81" fillId="0" borderId="0" xfId="41"/>
    <xf numFmtId="0" fontId="12" fillId="0" borderId="13" xfId="0" applyFont="1" applyFill="1" applyBorder="1" applyAlignment="1">
      <alignment horizontal="left" vertical="center" wrapText="1" indent="1"/>
    </xf>
    <xf numFmtId="0" fontId="10" fillId="32" borderId="15" xfId="0" applyFont="1" applyFill="1" applyBorder="1" applyAlignment="1">
      <alignment vertical="center" wrapText="1"/>
    </xf>
    <xf numFmtId="0" fontId="6"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24" borderId="17" xfId="0" applyNumberFormat="1" applyFont="1" applyFill="1" applyBorder="1" applyAlignment="1">
      <alignment horizontal="right" vertical="center" indent="1"/>
    </xf>
    <xf numFmtId="3" fontId="9" fillId="24" borderId="18" xfId="0" applyNumberFormat="1" applyFont="1" applyFill="1" applyBorder="1" applyAlignment="1">
      <alignment horizontal="right" vertical="center" indent="1"/>
    </xf>
    <xf numFmtId="0" fontId="0" fillId="0" borderId="0" xfId="0" applyNumberFormat="1" applyAlignment="1">
      <alignment vertical="center" wrapText="1"/>
    </xf>
    <xf numFmtId="166" fontId="63" fillId="37" borderId="13" xfId="75" quotePrefix="1" applyNumberFormat="1" applyFont="1" applyFill="1" applyBorder="1" applyAlignment="1" applyProtection="1">
      <alignment horizontal="left" vertical="center" wrapText="1" indent="1"/>
      <protection locked="0"/>
    </xf>
    <xf numFmtId="166" fontId="62" fillId="37" borderId="13" xfId="83" quotePrefix="1" applyNumberFormat="1" applyFont="1" applyFill="1" applyBorder="1" applyAlignment="1" applyProtection="1">
      <alignment horizontal="left" vertical="center" wrapText="1" indent="1"/>
      <protection locked="0"/>
    </xf>
    <xf numFmtId="166" fontId="62" fillId="37" borderId="13" xfId="82" quotePrefix="1" applyNumberFormat="1" applyFont="1" applyFill="1" applyBorder="1" applyProtection="1">
      <alignment horizontal="left" vertical="center" indent="1"/>
      <protection locked="0"/>
    </xf>
    <xf numFmtId="0" fontId="10" fillId="0" borderId="13" xfId="0" applyFont="1" applyBorder="1"/>
    <xf numFmtId="166" fontId="63" fillId="37" borderId="13" xfId="50" quotePrefix="1" applyNumberFormat="1" applyFont="1" applyFill="1" applyBorder="1">
      <alignment horizontal="left" vertical="center" indent="1"/>
    </xf>
    <xf numFmtId="166" fontId="63" fillId="37" borderId="13" xfId="50" applyNumberFormat="1" applyFont="1" applyFill="1" applyBorder="1">
      <alignment horizontal="left" vertical="center" indent="1"/>
    </xf>
    <xf numFmtId="166" fontId="62" fillId="37" borderId="13" xfId="82" applyNumberFormat="1" applyFont="1" applyFill="1" applyBorder="1" applyAlignment="1" applyProtection="1">
      <alignment vertical="center"/>
      <protection locked="0"/>
    </xf>
    <xf numFmtId="166" fontId="63" fillId="37" borderId="13" xfId="82" quotePrefix="1" applyNumberFormat="1" applyFont="1" applyFill="1" applyBorder="1" applyProtection="1">
      <alignment horizontal="left" vertical="center" indent="1"/>
      <protection locked="0"/>
    </xf>
    <xf numFmtId="166" fontId="62" fillId="37" borderId="13" xfId="83" applyNumberFormat="1" applyFont="1" applyFill="1" applyBorder="1" applyAlignment="1" applyProtection="1">
      <alignment horizontal="left" vertical="center" wrapText="1" indent="1"/>
      <protection locked="0"/>
    </xf>
    <xf numFmtId="49" fontId="10" fillId="0" borderId="20" xfId="42" applyNumberFormat="1" applyFont="1" applyBorder="1" applyAlignment="1">
      <alignment horizontal="center"/>
    </xf>
    <xf numFmtId="49" fontId="10" fillId="0" borderId="35" xfId="42" applyNumberFormat="1" applyFont="1" applyBorder="1" applyAlignment="1">
      <alignment horizontal="center"/>
    </xf>
    <xf numFmtId="49" fontId="10" fillId="0" borderId="37" xfId="42" applyNumberFormat="1" applyFont="1" applyBorder="1" applyAlignment="1">
      <alignment horizontal="center"/>
    </xf>
    <xf numFmtId="0" fontId="10" fillId="0" borderId="29" xfId="42" applyFont="1" applyBorder="1"/>
    <xf numFmtId="0" fontId="10" fillId="0" borderId="13" xfId="42" applyFont="1" applyBorder="1"/>
    <xf numFmtId="0" fontId="10" fillId="0" borderId="19" xfId="42" applyFont="1" applyBorder="1"/>
    <xf numFmtId="0" fontId="9" fillId="0" borderId="42" xfId="0" applyFont="1" applyFill="1" applyBorder="1" applyAlignment="1">
      <alignment horizontal="center" vertical="center" wrapText="1"/>
    </xf>
    <xf numFmtId="0" fontId="9" fillId="35" borderId="43" xfId="0" applyFont="1" applyFill="1" applyBorder="1" applyAlignment="1">
      <alignment horizontal="left" vertical="center" wrapText="1" indent="1"/>
    </xf>
    <xf numFmtId="0" fontId="10" fillId="0" borderId="43" xfId="0" applyFont="1" applyFill="1" applyBorder="1" applyAlignment="1">
      <alignment horizontal="left" vertical="center" wrapText="1" indent="1"/>
    </xf>
    <xf numFmtId="0" fontId="10" fillId="36" borderId="44" xfId="0" applyFont="1" applyFill="1" applyBorder="1" applyAlignment="1">
      <alignment horizontal="left" vertical="center" wrapText="1" indent="1"/>
    </xf>
    <xf numFmtId="0" fontId="10" fillId="0" borderId="45" xfId="0" applyFont="1" applyFill="1" applyBorder="1" applyAlignment="1">
      <alignment horizontal="left" vertical="center" wrapText="1" indent="1"/>
    </xf>
    <xf numFmtId="0" fontId="10" fillId="37" borderId="43" xfId="0" applyFont="1" applyFill="1" applyBorder="1" applyAlignment="1">
      <alignment horizontal="left" vertical="center" wrapText="1" indent="1"/>
    </xf>
    <xf numFmtId="0" fontId="10" fillId="0" borderId="44" xfId="0" applyFont="1" applyFill="1" applyBorder="1" applyAlignment="1">
      <alignment horizontal="left" vertical="center" wrapText="1" indent="1"/>
    </xf>
    <xf numFmtId="3" fontId="4" fillId="24" borderId="45" xfId="0" applyNumberFormat="1" applyFont="1" applyFill="1" applyBorder="1" applyAlignment="1">
      <alignment horizontal="right" vertical="center" wrapText="1" indent="1"/>
    </xf>
    <xf numFmtId="0" fontId="10" fillId="0" borderId="0" xfId="0" applyFont="1" applyBorder="1"/>
    <xf numFmtId="0" fontId="15" fillId="0" borderId="35" xfId="0" applyFont="1" applyBorder="1" applyAlignment="1">
      <alignment horizontal="center"/>
    </xf>
    <xf numFmtId="0" fontId="41" fillId="0" borderId="48" xfId="35" applyFont="1" applyBorder="1" applyAlignment="1" applyProtection="1">
      <alignment horizontal="center"/>
    </xf>
    <xf numFmtId="0" fontId="10" fillId="0" borderId="50" xfId="0" applyFont="1" applyBorder="1"/>
    <xf numFmtId="166" fontId="5" fillId="0" borderId="0" xfId="0" applyNumberFormat="1" applyFont="1" applyBorder="1"/>
    <xf numFmtId="166" fontId="5" fillId="0" borderId="0" xfId="0" applyNumberFormat="1" applyFont="1" applyBorder="1" applyAlignment="1">
      <alignment wrapText="1"/>
    </xf>
    <xf numFmtId="0" fontId="32" fillId="0" borderId="0" xfId="0" applyFont="1" applyBorder="1" applyAlignment="1">
      <alignment horizontal="left"/>
    </xf>
    <xf numFmtId="0" fontId="32" fillId="0" borderId="0" xfId="0" applyFont="1" applyBorder="1" applyAlignment="1">
      <alignment horizontal="left" vertical="center"/>
    </xf>
    <xf numFmtId="0" fontId="83" fillId="0" borderId="0" xfId="0" applyFont="1" applyFill="1" applyAlignment="1">
      <alignment vertical="center" wrapText="1"/>
    </xf>
    <xf numFmtId="0" fontId="21" fillId="0" borderId="0" xfId="0" applyFont="1" applyAlignment="1"/>
    <xf numFmtId="0" fontId="85" fillId="0" borderId="0" xfId="0" applyFont="1"/>
    <xf numFmtId="0" fontId="84" fillId="0" borderId="43" xfId="0" applyFont="1" applyFill="1" applyBorder="1" applyAlignment="1">
      <alignment horizontal="left" vertical="center" wrapText="1" indent="1"/>
    </xf>
    <xf numFmtId="0" fontId="69" fillId="0" borderId="0" xfId="0" applyFont="1" applyFill="1" applyAlignment="1">
      <alignment horizontal="left" vertical="center" indent="1"/>
    </xf>
    <xf numFmtId="3" fontId="10" fillId="0" borderId="0" xfId="45" applyNumberFormat="1" applyFont="1" applyBorder="1" applyAlignment="1">
      <alignment horizontal="center" vertical="center" wrapText="1"/>
    </xf>
    <xf numFmtId="4" fontId="5" fillId="35" borderId="17" xfId="0" applyNumberFormat="1" applyFont="1" applyFill="1" applyBorder="1" applyAlignment="1">
      <alignment horizontal="right" vertical="center" wrapText="1" indent="1"/>
    </xf>
    <xf numFmtId="4" fontId="9" fillId="24" borderId="17" xfId="45" applyNumberFormat="1" applyFont="1" applyFill="1" applyBorder="1" applyAlignment="1">
      <alignment horizontal="right" vertical="center" wrapText="1" indent="1"/>
    </xf>
    <xf numFmtId="4" fontId="9" fillId="24" borderId="18" xfId="45" applyNumberFormat="1" applyFont="1" applyFill="1" applyBorder="1" applyAlignment="1">
      <alignment horizontal="right" vertical="center" wrapText="1" indent="1"/>
    </xf>
    <xf numFmtId="0" fontId="70" fillId="0" borderId="14" xfId="0" applyFont="1" applyFill="1" applyBorder="1" applyAlignment="1">
      <alignment horizontal="center" vertical="center" wrapText="1"/>
    </xf>
    <xf numFmtId="49" fontId="9" fillId="0" borderId="13" xfId="43" applyNumberFormat="1" applyFont="1" applyBorder="1" applyAlignment="1">
      <alignment horizontal="left" vertical="center" wrapText="1" indent="1"/>
    </xf>
    <xf numFmtId="3" fontId="9" fillId="24" borderId="13" xfId="43" applyNumberFormat="1" applyFont="1" applyFill="1" applyBorder="1" applyAlignment="1">
      <alignment horizontal="right" vertical="center" wrapText="1" indent="1"/>
    </xf>
    <xf numFmtId="3" fontId="5" fillId="35" borderId="13" xfId="43" applyNumberFormat="1" applyFont="1" applyFill="1" applyBorder="1" applyAlignment="1">
      <alignment horizontal="right" vertical="center" wrapText="1" indent="1"/>
    </xf>
    <xf numFmtId="3" fontId="5" fillId="35" borderId="19" xfId="43" applyNumberFormat="1" applyFont="1" applyFill="1" applyBorder="1" applyAlignment="1">
      <alignment horizontal="right" vertical="center" wrapText="1" indent="1"/>
    </xf>
    <xf numFmtId="0" fontId="5" fillId="0" borderId="19" xfId="43" applyFont="1" applyBorder="1" applyAlignment="1">
      <alignment horizontal="left" vertical="top" wrapText="1" indent="1"/>
    </xf>
    <xf numFmtId="0" fontId="27" fillId="0" borderId="43" xfId="0" applyFont="1" applyFill="1" applyBorder="1" applyAlignment="1">
      <alignment horizontal="left" vertical="center" wrapText="1" indent="1"/>
    </xf>
    <xf numFmtId="0" fontId="83" fillId="0" borderId="0" xfId="0" applyFont="1" applyAlignment="1">
      <alignment wrapText="1"/>
    </xf>
    <xf numFmtId="0" fontId="41" fillId="0" borderId="20" xfId="35" applyFont="1" applyBorder="1" applyAlignment="1" applyProtection="1">
      <alignment horizontal="center"/>
    </xf>
    <xf numFmtId="0" fontId="41" fillId="0" borderId="37" xfId="35" applyFont="1" applyBorder="1" applyAlignment="1" applyProtection="1">
      <alignment horizontal="center"/>
    </xf>
    <xf numFmtId="0" fontId="10" fillId="0" borderId="52" xfId="0" applyFont="1" applyBorder="1"/>
    <xf numFmtId="0" fontId="84" fillId="37" borderId="43" xfId="0" applyFont="1" applyFill="1" applyBorder="1" applyAlignment="1">
      <alignment horizontal="left" vertical="center" wrapText="1" indent="1"/>
    </xf>
    <xf numFmtId="49" fontId="84" fillId="37" borderId="43" xfId="0" applyNumberFormat="1" applyFont="1" applyFill="1" applyBorder="1" applyAlignment="1">
      <alignment horizontal="left" vertical="center" wrapText="1" indent="1"/>
    </xf>
    <xf numFmtId="0" fontId="5" fillId="0" borderId="0" xfId="0" applyFont="1" applyFill="1" applyBorder="1"/>
    <xf numFmtId="0" fontId="4" fillId="0" borderId="0" xfId="0" applyFont="1" applyFill="1" applyBorder="1" applyAlignment="1">
      <alignment horizontal="center" vertical="center"/>
    </xf>
    <xf numFmtId="49" fontId="4" fillId="0" borderId="13"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6" xfId="0" applyFont="1" applyFill="1" applyBorder="1" applyAlignment="1">
      <alignment horizontal="center" vertical="center" wrapText="1"/>
    </xf>
    <xf numFmtId="49" fontId="5" fillId="0" borderId="0" xfId="0" applyNumberFormat="1" applyFont="1" applyFill="1" applyBorder="1" applyAlignment="1">
      <alignment horizontal="left" indent="1"/>
    </xf>
    <xf numFmtId="0" fontId="27" fillId="0" borderId="0" xfId="0" applyFont="1" applyFill="1" applyBorder="1" applyAlignment="1">
      <alignment vertical="center"/>
    </xf>
    <xf numFmtId="0" fontId="34" fillId="0" borderId="0" xfId="40" applyFont="1" applyAlignment="1">
      <alignment horizontal="center" vertical="center" wrapText="1"/>
    </xf>
    <xf numFmtId="0" fontId="5" fillId="0" borderId="0" xfId="40" applyFont="1"/>
    <xf numFmtId="0" fontId="5" fillId="0" borderId="0" xfId="40" applyFont="1" applyAlignment="1">
      <alignment horizontal="center"/>
    </xf>
    <xf numFmtId="0" fontId="4" fillId="0" borderId="15" xfId="40" applyFont="1" applyBorder="1" applyAlignment="1">
      <alignment horizontal="center" vertical="center" wrapText="1"/>
    </xf>
    <xf numFmtId="49" fontId="4" fillId="0" borderId="13" xfId="40" applyNumberFormat="1" applyFont="1" applyBorder="1" applyAlignment="1">
      <alignment horizontal="center" vertical="center" wrapText="1"/>
    </xf>
    <xf numFmtId="0" fontId="4" fillId="0" borderId="13" xfId="40" applyFont="1" applyBorder="1" applyAlignment="1">
      <alignment horizontal="center" vertical="center" wrapText="1"/>
    </xf>
    <xf numFmtId="0" fontId="4" fillId="0" borderId="14" xfId="40" applyFont="1" applyBorder="1" applyAlignment="1">
      <alignment horizontal="center" vertical="center" wrapText="1"/>
    </xf>
    <xf numFmtId="0" fontId="5" fillId="0" borderId="15" xfId="40" applyFont="1" applyBorder="1" applyAlignment="1">
      <alignment horizontal="center" wrapText="1"/>
    </xf>
    <xf numFmtId="49" fontId="4" fillId="0" borderId="13" xfId="40" applyNumberFormat="1" applyFont="1" applyBorder="1" applyAlignment="1">
      <alignment vertical="top" wrapText="1"/>
    </xf>
    <xf numFmtId="3" fontId="5" fillId="0" borderId="13" xfId="40" applyNumberFormat="1" applyFont="1" applyFill="1" applyBorder="1" applyAlignment="1">
      <alignment horizontal="center" wrapText="1"/>
    </xf>
    <xf numFmtId="0" fontId="5" fillId="0" borderId="15" xfId="40" applyFont="1" applyBorder="1" applyAlignment="1">
      <alignment horizontal="center" vertical="center" wrapText="1"/>
    </xf>
    <xf numFmtId="49" fontId="4" fillId="0" borderId="13" xfId="40" applyNumberFormat="1" applyFont="1" applyBorder="1" applyAlignment="1">
      <alignment horizontal="left" vertical="center" wrapText="1" indent="1"/>
    </xf>
    <xf numFmtId="3" fontId="9" fillId="24" borderId="13" xfId="40" applyNumberFormat="1" applyFont="1" applyFill="1" applyBorder="1" applyAlignment="1">
      <alignment horizontal="right" vertical="center" wrapText="1" indent="1"/>
    </xf>
    <xf numFmtId="3" fontId="5" fillId="35" borderId="13" xfId="40" applyNumberFormat="1" applyFont="1" applyFill="1" applyBorder="1" applyAlignment="1">
      <alignment horizontal="right" vertical="center" wrapText="1" indent="1"/>
    </xf>
    <xf numFmtId="49" fontId="5" fillId="0" borderId="13" xfId="40" applyNumberFormat="1" applyFont="1" applyBorder="1" applyAlignment="1">
      <alignment horizontal="left" vertical="center" wrapText="1" indent="1"/>
    </xf>
    <xf numFmtId="0" fontId="5" fillId="0" borderId="0" xfId="40" applyFont="1" applyFill="1" applyAlignment="1">
      <alignment horizontal="center"/>
    </xf>
    <xf numFmtId="0" fontId="5" fillId="0" borderId="0" xfId="40" applyFont="1" applyFill="1"/>
    <xf numFmtId="49" fontId="10" fillId="36" borderId="13" xfId="40" applyNumberFormat="1" applyFont="1" applyFill="1" applyBorder="1" applyAlignment="1">
      <alignment horizontal="left" vertical="center" wrapText="1" indent="1"/>
    </xf>
    <xf numFmtId="49" fontId="4" fillId="0" borderId="17" xfId="40" applyNumberFormat="1" applyFont="1" applyBorder="1" applyAlignment="1">
      <alignment horizontal="left" vertical="center" wrapText="1" indent="1"/>
    </xf>
    <xf numFmtId="0" fontId="5" fillId="0" borderId="0" xfId="40" applyFont="1" applyFill="1" applyBorder="1" applyAlignment="1">
      <alignment horizontal="center" vertical="center" wrapText="1"/>
    </xf>
    <xf numFmtId="49" fontId="4" fillId="0" borderId="0" xfId="40" applyNumberFormat="1" applyFont="1" applyFill="1" applyBorder="1" applyAlignment="1">
      <alignment horizontal="left" vertical="top" wrapText="1" indent="1"/>
    </xf>
    <xf numFmtId="3" fontId="9" fillId="0" borderId="0" xfId="40" applyNumberFormat="1" applyFont="1" applyFill="1" applyBorder="1" applyAlignment="1">
      <alignment horizontal="right" vertical="center" wrapText="1" indent="1"/>
    </xf>
    <xf numFmtId="0" fontId="10" fillId="0" borderId="0" xfId="40" applyFont="1" applyAlignment="1">
      <alignment horizontal="center"/>
    </xf>
    <xf numFmtId="0" fontId="10" fillId="0" borderId="0" xfId="40" applyFont="1"/>
    <xf numFmtId="49" fontId="10" fillId="0" borderId="0" xfId="40" applyNumberFormat="1" applyFont="1"/>
    <xf numFmtId="49" fontId="5" fillId="0" borderId="0" xfId="40" applyNumberFormat="1" applyFont="1"/>
    <xf numFmtId="0" fontId="5" fillId="0" borderId="20" xfId="0" applyFont="1" applyFill="1" applyBorder="1" applyAlignment="1">
      <alignment horizontal="center" vertical="center" wrapText="1"/>
    </xf>
    <xf numFmtId="0" fontId="86" fillId="0" borderId="0" xfId="0" applyFont="1"/>
    <xf numFmtId="0" fontId="10" fillId="0" borderId="21" xfId="35" applyFont="1" applyBorder="1" applyAlignment="1" applyProtection="1">
      <alignment horizontal="left" vertical="center" indent="1"/>
    </xf>
    <xf numFmtId="0" fontId="82" fillId="35" borderId="43" xfId="0" applyFont="1" applyFill="1" applyBorder="1" applyAlignment="1">
      <alignment horizontal="left" vertical="center" wrapText="1" indent="1"/>
    </xf>
    <xf numFmtId="0" fontId="85" fillId="0" borderId="0" xfId="0" applyFont="1" applyBorder="1" applyAlignment="1">
      <alignment horizontal="left" vertical="center"/>
    </xf>
    <xf numFmtId="3" fontId="5" fillId="0" borderId="14" xfId="0" applyNumberFormat="1" applyFont="1" applyFill="1" applyBorder="1" applyAlignment="1">
      <alignment horizontal="center" vertical="center" wrapText="1"/>
    </xf>
    <xf numFmtId="0" fontId="5" fillId="0" borderId="15" xfId="43" applyFont="1" applyBorder="1" applyAlignment="1">
      <alignment horizontal="center" vertical="center" wrapText="1"/>
    </xf>
    <xf numFmtId="3" fontId="9" fillId="24" borderId="14" xfId="43" applyNumberFormat="1" applyFont="1" applyFill="1" applyBorder="1" applyAlignment="1">
      <alignment horizontal="right" vertical="center" wrapText="1" indent="1"/>
    </xf>
    <xf numFmtId="0" fontId="5" fillId="0" borderId="16" xfId="43" applyFont="1" applyBorder="1" applyAlignment="1">
      <alignment horizontal="center" vertical="center" wrapText="1"/>
    </xf>
    <xf numFmtId="3" fontId="4" fillId="24" borderId="17" xfId="43" applyNumberFormat="1" applyFont="1" applyFill="1" applyBorder="1" applyAlignment="1">
      <alignment horizontal="right" vertical="center" wrapText="1" indent="1"/>
    </xf>
    <xf numFmtId="3" fontId="5" fillId="0" borderId="38" xfId="40" applyNumberFormat="1" applyFont="1" applyFill="1" applyBorder="1" applyAlignment="1">
      <alignment horizontal="center" wrapText="1"/>
    </xf>
    <xf numFmtId="49" fontId="10" fillId="0" borderId="13" xfId="40" applyNumberFormat="1" applyFont="1" applyBorder="1" applyAlignment="1">
      <alignment horizontal="left" vertical="center" wrapText="1" indent="1"/>
    </xf>
    <xf numFmtId="49" fontId="5" fillId="0" borderId="13" xfId="40" applyNumberFormat="1" applyFont="1" applyFill="1" applyBorder="1" applyAlignment="1">
      <alignment horizontal="left" vertical="center" wrapText="1" indent="1"/>
    </xf>
    <xf numFmtId="0" fontId="84" fillId="0" borderId="16" xfId="41" applyFont="1" applyBorder="1" applyAlignment="1">
      <alignment horizontal="center" vertical="center"/>
    </xf>
    <xf numFmtId="0" fontId="5" fillId="0" borderId="15" xfId="0" applyFont="1" applyBorder="1" applyAlignment="1">
      <alignment horizontal="center" vertical="top"/>
    </xf>
    <xf numFmtId="0" fontId="5" fillId="0" borderId="0" xfId="0" applyFont="1" applyAlignment="1">
      <alignment horizontal="left" vertical="center"/>
    </xf>
    <xf numFmtId="0" fontId="10" fillId="0" borderId="20" xfId="0" applyFont="1" applyBorder="1" applyAlignment="1">
      <alignment horizontal="left" vertical="center" wrapText="1" indent="1"/>
    </xf>
    <xf numFmtId="0" fontId="10" fillId="0" borderId="35" xfId="0" applyFont="1" applyBorder="1" applyAlignment="1">
      <alignment horizontal="left" vertical="center" wrapText="1" indent="1"/>
    </xf>
    <xf numFmtId="0" fontId="84"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10" fillId="0" borderId="15" xfId="42" applyFont="1" applyBorder="1" applyAlignment="1">
      <alignment horizontal="left" indent="1"/>
    </xf>
    <xf numFmtId="0" fontId="10" fillId="0" borderId="22" xfId="42" applyFont="1" applyBorder="1" applyAlignment="1">
      <alignment horizontal="left" indent="1"/>
    </xf>
    <xf numFmtId="0" fontId="10" fillId="0" borderId="15" xfId="42" applyFont="1" applyFill="1" applyBorder="1" applyAlignment="1">
      <alignment horizontal="left" indent="1"/>
    </xf>
    <xf numFmtId="0" fontId="10" fillId="0" borderId="21" xfId="42" applyFont="1" applyFill="1" applyBorder="1" applyAlignment="1">
      <alignment horizontal="left" indent="1"/>
    </xf>
    <xf numFmtId="0" fontId="5" fillId="0" borderId="15" xfId="40" applyFont="1" applyFill="1" applyBorder="1" applyAlignment="1">
      <alignment horizontal="center" vertical="center" wrapText="1"/>
    </xf>
    <xf numFmtId="0" fontId="5" fillId="0" borderId="16" xfId="40" applyFont="1" applyFill="1" applyBorder="1" applyAlignment="1">
      <alignment horizontal="center" vertical="center" wrapText="1"/>
    </xf>
    <xf numFmtId="0" fontId="82" fillId="0" borderId="13" xfId="45" applyFont="1" applyBorder="1" applyAlignment="1">
      <alignment horizontal="center" vertical="center" wrapText="1"/>
    </xf>
    <xf numFmtId="0" fontId="84" fillId="0" borderId="19" xfId="42" applyFont="1" applyBorder="1"/>
    <xf numFmtId="49" fontId="87" fillId="0" borderId="17" xfId="43" applyNumberFormat="1" applyFont="1" applyBorder="1" applyAlignment="1">
      <alignment horizontal="left" vertical="center" wrapText="1" indent="1"/>
    </xf>
    <xf numFmtId="0" fontId="5" fillId="0" borderId="0" xfId="40" applyFont="1" applyAlignment="1">
      <alignment vertical="center" wrapText="1"/>
    </xf>
    <xf numFmtId="0" fontId="5" fillId="0" borderId="0" xfId="40" applyFont="1" applyBorder="1" applyAlignment="1">
      <alignment horizontal="center" vertical="center" wrapText="1"/>
    </xf>
    <xf numFmtId="0" fontId="9" fillId="0" borderId="0" xfId="40" applyFont="1" applyBorder="1" applyAlignment="1">
      <alignment horizontal="left" vertical="center" wrapText="1" indent="1"/>
    </xf>
    <xf numFmtId="49" fontId="37" fillId="0" borderId="0" xfId="40" applyNumberFormat="1" applyFont="1"/>
    <xf numFmtId="3" fontId="5" fillId="35" borderId="13" xfId="43" applyNumberFormat="1" applyFont="1" applyFill="1" applyBorder="1" applyAlignment="1">
      <alignment horizontal="center" vertical="center" wrapText="1"/>
    </xf>
    <xf numFmtId="165" fontId="76" fillId="40" borderId="13" xfId="0" applyNumberFormat="1" applyFont="1" applyFill="1" applyBorder="1" applyAlignment="1">
      <alignment vertical="center" wrapText="1"/>
    </xf>
    <xf numFmtId="165" fontId="76" fillId="40" borderId="14" xfId="0" applyNumberFormat="1" applyFont="1" applyFill="1" applyBorder="1" applyAlignment="1">
      <alignment vertical="center" wrapText="1"/>
    </xf>
    <xf numFmtId="165" fontId="76" fillId="40" borderId="17" xfId="0" applyNumberFormat="1" applyFont="1" applyFill="1" applyBorder="1" applyAlignment="1">
      <alignment vertical="center" wrapText="1"/>
    </xf>
    <xf numFmtId="165" fontId="76" fillId="40" borderId="18" xfId="0" applyNumberFormat="1" applyFont="1" applyFill="1" applyBorder="1" applyAlignment="1">
      <alignment vertical="center" wrapText="1"/>
    </xf>
    <xf numFmtId="49" fontId="88" fillId="0" borderId="13" xfId="0" applyNumberFormat="1" applyFont="1" applyFill="1" applyBorder="1" applyAlignment="1">
      <alignment horizontal="left" vertical="top" wrapText="1" indent="1"/>
    </xf>
    <xf numFmtId="0" fontId="12" fillId="0" borderId="15" xfId="0" applyFont="1" applyBorder="1" applyAlignment="1">
      <alignment horizontal="center" vertical="center"/>
    </xf>
    <xf numFmtId="49" fontId="87" fillId="0" borderId="13" xfId="0" applyNumberFormat="1" applyFont="1" applyFill="1" applyBorder="1" applyAlignment="1">
      <alignment horizontal="left" vertical="top" wrapText="1" indent="1"/>
    </xf>
    <xf numFmtId="49" fontId="88" fillId="0" borderId="13" xfId="0" applyNumberFormat="1" applyFont="1" applyFill="1" applyBorder="1" applyAlignment="1">
      <alignment horizontal="left" wrapText="1" indent="1"/>
    </xf>
    <xf numFmtId="49" fontId="87" fillId="0" borderId="13" xfId="0" applyNumberFormat="1" applyFont="1" applyFill="1" applyBorder="1" applyAlignment="1">
      <alignment horizontal="left" vertical="top" wrapText="1"/>
    </xf>
    <xf numFmtId="49" fontId="88" fillId="0" borderId="13" xfId="0" applyNumberFormat="1" applyFont="1" applyFill="1" applyBorder="1" applyAlignment="1">
      <alignment horizontal="left" vertical="center" wrapText="1" indent="1"/>
    </xf>
    <xf numFmtId="49" fontId="88" fillId="0" borderId="13" xfId="0" applyNumberFormat="1" applyFont="1" applyFill="1" applyBorder="1" applyAlignment="1">
      <alignment horizontal="left" vertical="center" wrapText="1"/>
    </xf>
    <xf numFmtId="49" fontId="88" fillId="36" borderId="13" xfId="0" applyNumberFormat="1" applyFont="1" applyFill="1" applyBorder="1" applyAlignment="1">
      <alignment horizontal="left" vertical="top" wrapText="1" indent="1"/>
    </xf>
    <xf numFmtId="49" fontId="84" fillId="0" borderId="13" xfId="0" applyNumberFormat="1" applyFont="1" applyFill="1" applyBorder="1" applyAlignment="1">
      <alignment horizontal="left" vertical="center" wrapText="1" indent="1"/>
    </xf>
    <xf numFmtId="0" fontId="84" fillId="0" borderId="13" xfId="0" applyFont="1" applyFill="1" applyBorder="1" applyAlignment="1">
      <alignment vertical="center" wrapText="1"/>
    </xf>
    <xf numFmtId="0" fontId="84" fillId="0" borderId="15" xfId="0" applyFont="1" applyFill="1" applyBorder="1" applyAlignment="1">
      <alignment horizontal="right" vertical="center" wrapText="1" indent="1"/>
    </xf>
    <xf numFmtId="0" fontId="84" fillId="0" borderId="16" xfId="0" applyFont="1" applyFill="1" applyBorder="1" applyAlignment="1">
      <alignment horizontal="right" vertical="center" wrapText="1" indent="1"/>
    </xf>
    <xf numFmtId="0" fontId="84" fillId="0" borderId="22" xfId="0" applyFont="1" applyFill="1" applyBorder="1" applyAlignment="1">
      <alignment horizontal="right" vertical="center" wrapText="1" indent="1"/>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6" xfId="0" applyFont="1" applyBorder="1" applyAlignment="1">
      <alignment horizontal="center" vertical="center"/>
    </xf>
    <xf numFmtId="14" fontId="84" fillId="0" borderId="34" xfId="0" applyNumberFormat="1" applyFont="1" applyFill="1" applyBorder="1" applyAlignment="1">
      <alignment horizontal="center" vertical="center" wrapText="1"/>
    </xf>
    <xf numFmtId="14" fontId="84" fillId="0" borderId="14" xfId="0" applyNumberFormat="1" applyFont="1" applyFill="1" applyBorder="1" applyAlignment="1">
      <alignment horizontal="center" vertical="center" wrapText="1"/>
    </xf>
    <xf numFmtId="14" fontId="84" fillId="0" borderId="18"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Border="1" applyAlignment="1">
      <alignment horizontal="center" vertical="center" wrapText="1"/>
    </xf>
    <xf numFmtId="49" fontId="87" fillId="0" borderId="13" xfId="0" applyNumberFormat="1" applyFont="1" applyFill="1" applyBorder="1" applyAlignment="1">
      <alignment horizontal="left" vertical="center" wrapText="1" indent="1"/>
    </xf>
    <xf numFmtId="0" fontId="21" fillId="0" borderId="0" xfId="0" applyFont="1"/>
    <xf numFmtId="0" fontId="84" fillId="43" borderId="13" xfId="0" applyFont="1" applyFill="1" applyBorder="1" applyAlignment="1">
      <alignment vertical="center" wrapText="1"/>
    </xf>
    <xf numFmtId="0" fontId="84" fillId="44" borderId="13" xfId="0" applyFont="1" applyFill="1" applyBorder="1" applyAlignment="1">
      <alignment vertical="center" wrapText="1"/>
    </xf>
    <xf numFmtId="0" fontId="84" fillId="45" borderId="29" xfId="0" applyFont="1" applyFill="1" applyBorder="1" applyAlignment="1">
      <alignment vertical="center" wrapText="1"/>
    </xf>
    <xf numFmtId="0" fontId="9" fillId="0" borderId="43" xfId="0" applyFont="1" applyFill="1" applyBorder="1" applyAlignment="1">
      <alignment horizontal="left" vertical="center" wrapText="1" indent="1"/>
    </xf>
    <xf numFmtId="3" fontId="5" fillId="35" borderId="13" xfId="0" applyNumberFormat="1" applyFont="1" applyFill="1" applyBorder="1" applyAlignment="1">
      <alignment horizontal="center" vertical="center" wrapText="1"/>
    </xf>
    <xf numFmtId="0" fontId="83" fillId="0" borderId="0" xfId="0" applyFont="1"/>
    <xf numFmtId="3" fontId="68" fillId="0" borderId="0" xfId="0" applyNumberFormat="1" applyFont="1"/>
    <xf numFmtId="3" fontId="4" fillId="24" borderId="43" xfId="0" applyNumberFormat="1" applyFont="1" applyFill="1" applyBorder="1" applyAlignment="1">
      <alignment horizontal="right" vertical="center" wrapText="1" indent="1"/>
    </xf>
    <xf numFmtId="49" fontId="10" fillId="0" borderId="0" xfId="0" applyNumberFormat="1" applyFont="1" applyAlignment="1">
      <alignment horizontal="left" vertical="center"/>
    </xf>
    <xf numFmtId="0" fontId="4" fillId="0" borderId="15" xfId="0" applyFont="1" applyBorder="1" applyAlignment="1">
      <alignment horizontal="center" vertical="center" wrapText="1"/>
    </xf>
    <xf numFmtId="49" fontId="4" fillId="0" borderId="13" xfId="0" applyNumberFormat="1" applyFont="1" applyBorder="1" applyAlignment="1">
      <alignment horizontal="left" vertical="center" wrapText="1" inden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vertical="top" wrapText="1"/>
    </xf>
    <xf numFmtId="0" fontId="84" fillId="0" borderId="15" xfId="35" applyFont="1" applyBorder="1" applyAlignment="1" applyProtection="1">
      <alignment horizontal="left" vertical="center" indent="1"/>
    </xf>
    <xf numFmtId="0" fontId="84" fillId="0" borderId="52" xfId="0" applyFont="1" applyBorder="1"/>
    <xf numFmtId="0" fontId="10" fillId="0" borderId="15" xfId="35" applyFont="1" applyBorder="1" applyAlignment="1" applyProtection="1">
      <alignment horizontal="left" vertical="center" indent="1"/>
    </xf>
    <xf numFmtId="0" fontId="82" fillId="0" borderId="43" xfId="0" applyFont="1" applyFill="1" applyBorder="1" applyAlignment="1">
      <alignment horizontal="left" vertical="center" wrapText="1" inden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3" xfId="0" applyNumberFormat="1" applyFont="1" applyFill="1" applyBorder="1" applyAlignment="1">
      <alignment vertical="center" wrapText="1"/>
    </xf>
    <xf numFmtId="49" fontId="89" fillId="0" borderId="13"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5" fillId="0" borderId="72" xfId="0" applyFont="1" applyFill="1" applyBorder="1" applyAlignment="1">
      <alignment horizontal="center" vertical="center" wrapText="1"/>
    </xf>
    <xf numFmtId="0" fontId="9" fillId="0" borderId="72" xfId="0" applyFont="1" applyFill="1" applyBorder="1" applyAlignment="1">
      <alignment horizontal="left" vertical="center" wrapText="1" indent="1"/>
    </xf>
    <xf numFmtId="0" fontId="9" fillId="0" borderId="72" xfId="0" applyFont="1" applyFill="1" applyBorder="1" applyAlignment="1">
      <alignment horizontal="center" vertical="center" wrapText="1"/>
    </xf>
    <xf numFmtId="0" fontId="5" fillId="0" borderId="72" xfId="0" applyFont="1" applyFill="1" applyBorder="1" applyAlignment="1">
      <alignment horizontal="right" vertical="center" wrapText="1" indent="1"/>
    </xf>
    <xf numFmtId="49" fontId="99" fillId="0" borderId="52" xfId="40" applyNumberFormat="1" applyFont="1" applyBorder="1"/>
    <xf numFmtId="0" fontId="27" fillId="0" borderId="27" xfId="40" applyFont="1" applyBorder="1"/>
    <xf numFmtId="0" fontId="27" fillId="0" borderId="20" xfId="40" applyFont="1" applyBorder="1" applyAlignment="1">
      <alignment vertical="center"/>
    </xf>
    <xf numFmtId="0" fontId="27" fillId="0" borderId="52" xfId="40" applyFont="1" applyBorder="1" applyAlignment="1">
      <alignment vertical="center"/>
    </xf>
    <xf numFmtId="0" fontId="9" fillId="0" borderId="60" xfId="0" applyFont="1" applyFill="1" applyBorder="1" applyAlignment="1">
      <alignment horizontal="center" vertical="center" wrapText="1"/>
    </xf>
    <xf numFmtId="0" fontId="10" fillId="0" borderId="20" xfId="0" applyFont="1" applyFill="1" applyBorder="1" applyAlignment="1">
      <alignment horizontal="left" vertical="center" wrapText="1" indent="1"/>
    </xf>
    <xf numFmtId="0" fontId="84"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10" fillId="0" borderId="43" xfId="0" applyNumberFormat="1" applyFont="1" applyFill="1" applyBorder="1" applyAlignment="1">
      <alignment horizontal="left" vertical="center" wrapText="1" inden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3" fontId="9" fillId="24" borderId="73" xfId="0" applyNumberFormat="1" applyFont="1" applyFill="1" applyBorder="1" applyAlignment="1">
      <alignment horizontal="right" vertical="center" wrapText="1" indent="1"/>
    </xf>
    <xf numFmtId="166" fontId="5" fillId="38" borderId="0" xfId="0" applyNumberFormat="1" applyFont="1" applyFill="1" applyAlignment="1">
      <alignment horizontal="right" vertical="center" indent="1"/>
    </xf>
    <xf numFmtId="4" fontId="5" fillId="0" borderId="0" xfId="0" applyNumberFormat="1" applyFont="1" applyFill="1" applyAlignment="1">
      <alignment horizontal="right" vertical="center" indent="1"/>
    </xf>
    <xf numFmtId="0" fontId="5" fillId="38" borderId="0" xfId="0" applyFont="1" applyFill="1"/>
    <xf numFmtId="166" fontId="5" fillId="38" borderId="0" xfId="0" applyNumberFormat="1" applyFont="1" applyFill="1"/>
    <xf numFmtId="166" fontId="5" fillId="0" borderId="0" xfId="0" applyNumberFormat="1" applyFont="1"/>
    <xf numFmtId="49" fontId="85" fillId="0" borderId="0" xfId="0" applyNumberFormat="1" applyFont="1" applyBorder="1" applyAlignment="1">
      <alignment horizontal="left" vertical="center" wrapText="1" indent="1"/>
    </xf>
    <xf numFmtId="0" fontId="101" fillId="0" borderId="0" xfId="0" applyFont="1" applyFill="1" applyAlignment="1">
      <alignment horizontal="left" vertical="center" wrapText="1" indent="3"/>
    </xf>
    <xf numFmtId="0" fontId="3" fillId="0" borderId="0" xfId="0" applyFont="1"/>
    <xf numFmtId="0" fontId="72" fillId="0" borderId="0" xfId="0" applyFont="1"/>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3" fillId="0" borderId="0" xfId="0" applyFont="1"/>
    <xf numFmtId="0" fontId="85" fillId="0" borderId="0" xfId="0" applyFont="1" applyFill="1"/>
    <xf numFmtId="49" fontId="88" fillId="0" borderId="13" xfId="0" applyNumberFormat="1" applyFont="1" applyFill="1" applyBorder="1" applyAlignment="1" applyProtection="1">
      <alignment horizontal="left" vertical="top" wrapText="1" indent="1"/>
      <protection locked="0"/>
    </xf>
    <xf numFmtId="3" fontId="27" fillId="0" borderId="0" xfId="45" applyNumberFormat="1" applyFont="1" applyBorder="1" applyAlignment="1">
      <alignment vertical="center"/>
    </xf>
    <xf numFmtId="0" fontId="68" fillId="0" borderId="52" xfId="0" applyFont="1" applyBorder="1"/>
    <xf numFmtId="0" fontId="15" fillId="0" borderId="46" xfId="0" applyFont="1" applyFill="1" applyBorder="1" applyAlignment="1">
      <alignment vertical="center"/>
    </xf>
    <xf numFmtId="0" fontId="10" fillId="0" borderId="46" xfId="0" applyFont="1" applyFill="1" applyBorder="1" applyAlignment="1">
      <alignment vertical="center"/>
    </xf>
    <xf numFmtId="0" fontId="10" fillId="0" borderId="46" xfId="0" applyFont="1" applyBorder="1"/>
    <xf numFmtId="0" fontId="10" fillId="0" borderId="47" xfId="0" applyFont="1" applyBorder="1"/>
    <xf numFmtId="0" fontId="10" fillId="0" borderId="49" xfId="0" applyFont="1" applyBorder="1"/>
    <xf numFmtId="0" fontId="10" fillId="0" borderId="32" xfId="0" applyFont="1" applyBorder="1"/>
    <xf numFmtId="0" fontId="10" fillId="0" borderId="27" xfId="0" applyFont="1" applyBorder="1"/>
    <xf numFmtId="0" fontId="68" fillId="0" borderId="27" xfId="0" applyFont="1" applyBorder="1"/>
    <xf numFmtId="0" fontId="104" fillId="0" borderId="0" xfId="0" applyFont="1" applyAlignment="1">
      <alignment horizontal="center"/>
    </xf>
    <xf numFmtId="0" fontId="10" fillId="0" borderId="0" xfId="0" applyFont="1" applyAlignment="1">
      <alignment horizontal="center"/>
    </xf>
    <xf numFmtId="0" fontId="75" fillId="0" borderId="46" xfId="0" applyFont="1" applyFill="1" applyBorder="1" applyAlignment="1">
      <alignmen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 fontId="9" fillId="24" borderId="17" xfId="0" applyNumberFormat="1" applyFont="1" applyFill="1" applyBorder="1" applyAlignment="1">
      <alignment horizontal="right" vertical="center" wrapText="1" indent="1"/>
    </xf>
    <xf numFmtId="0" fontId="10" fillId="0" borderId="0" xfId="0" applyFont="1" applyFill="1" applyAlignment="1">
      <alignment vertical="center" wrapText="1"/>
    </xf>
    <xf numFmtId="0" fontId="93" fillId="0" borderId="0" xfId="0" applyFont="1" applyAlignment="1">
      <alignment horizontal="left"/>
    </xf>
    <xf numFmtId="0" fontId="0" fillId="0" borderId="0" xfId="0" applyAlignment="1">
      <alignment horizontal="left"/>
    </xf>
    <xf numFmtId="0" fontId="86" fillId="0" borderId="0" xfId="0" applyFont="1" applyAlignment="1">
      <alignment horizontal="left"/>
    </xf>
    <xf numFmtId="0" fontId="0" fillId="0" borderId="0" xfId="0" applyFill="1" applyAlignment="1">
      <alignment horizontal="left"/>
    </xf>
    <xf numFmtId="0" fontId="21" fillId="0" borderId="0" xfId="0" applyFont="1" applyAlignment="1">
      <alignment horizontal="left" vertical="center"/>
    </xf>
    <xf numFmtId="0" fontId="100" fillId="0" borderId="0" xfId="0" applyFont="1" applyAlignment="1">
      <alignment horizontal="left"/>
    </xf>
    <xf numFmtId="0" fontId="32" fillId="0" borderId="0" xfId="0" applyFont="1" applyFill="1" applyAlignment="1">
      <alignment vertical="center"/>
    </xf>
    <xf numFmtId="0" fontId="105" fillId="0" borderId="0" xfId="0" applyFont="1" applyAlignment="1">
      <alignment horizontal="left" wrapText="1"/>
    </xf>
    <xf numFmtId="0" fontId="9" fillId="0" borderId="13" xfId="40" applyFont="1" applyBorder="1" applyAlignment="1">
      <alignment horizontal="center" vertical="center" wrapText="1"/>
    </xf>
    <xf numFmtId="0" fontId="9" fillId="0" borderId="13" xfId="40" applyFont="1" applyBorder="1" applyAlignment="1">
      <alignment horizontal="left" vertical="center" wrapText="1" indent="1"/>
    </xf>
    <xf numFmtId="0" fontId="9" fillId="0" borderId="14" xfId="40" applyFont="1" applyBorder="1" applyAlignment="1">
      <alignment horizontal="center" vertical="center" wrapText="1"/>
    </xf>
    <xf numFmtId="3" fontId="9" fillId="24" borderId="14" xfId="40" applyNumberFormat="1" applyFont="1" applyFill="1" applyBorder="1" applyAlignment="1">
      <alignment horizontal="right" vertical="center" wrapText="1" indent="1"/>
    </xf>
    <xf numFmtId="3" fontId="5" fillId="35" borderId="14" xfId="40" applyNumberFormat="1" applyFont="1" applyFill="1" applyBorder="1" applyAlignment="1">
      <alignment horizontal="right" vertical="center" wrapText="1" indent="1"/>
    </xf>
    <xf numFmtId="0" fontId="5" fillId="0" borderId="16" xfId="40" applyFont="1" applyBorder="1" applyAlignment="1">
      <alignment horizontal="center" vertical="center" wrapText="1"/>
    </xf>
    <xf numFmtId="0" fontId="9" fillId="0" borderId="17" xfId="40" applyFont="1" applyBorder="1" applyAlignment="1">
      <alignment horizontal="left" vertical="center" wrapText="1" indent="1"/>
    </xf>
    <xf numFmtId="3" fontId="5" fillId="35" borderId="17" xfId="40" applyNumberFormat="1" applyFont="1" applyFill="1" applyBorder="1" applyAlignment="1">
      <alignment horizontal="right" vertical="center" wrapText="1" indent="1"/>
    </xf>
    <xf numFmtId="3" fontId="5" fillId="35" borderId="18" xfId="40" applyNumberFormat="1" applyFont="1" applyFill="1" applyBorder="1" applyAlignment="1">
      <alignment horizontal="right" vertical="center" wrapText="1" indent="1"/>
    </xf>
    <xf numFmtId="3" fontId="5" fillId="0" borderId="0" xfId="0" applyNumberFormat="1" applyFont="1" applyAlignment="1">
      <alignment vertical="center"/>
    </xf>
    <xf numFmtId="0" fontId="85" fillId="0" borderId="0" xfId="0" applyFont="1" applyAlignment="1">
      <alignment vertical="center"/>
    </xf>
    <xf numFmtId="0" fontId="104" fillId="0" borderId="14" xfId="35" applyFont="1" applyBorder="1" applyAlignment="1" applyProtection="1">
      <alignment horizontal="left" vertical="center" indent="1"/>
    </xf>
    <xf numFmtId="0" fontId="86" fillId="0" borderId="0" xfId="0" applyFont="1" applyAlignment="1">
      <alignment vertical="center"/>
    </xf>
    <xf numFmtId="0" fontId="108" fillId="0" borderId="13"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82" fillId="0" borderId="13" xfId="41" applyFont="1" applyBorder="1" applyAlignment="1">
      <alignment horizontal="center" vertical="center"/>
    </xf>
    <xf numFmtId="0" fontId="82" fillId="0" borderId="13" xfId="41" applyFont="1" applyBorder="1" applyAlignment="1">
      <alignment vertical="center"/>
    </xf>
    <xf numFmtId="0" fontId="82" fillId="0" borderId="23" xfId="41" applyFont="1" applyBorder="1" applyAlignment="1">
      <alignment horizontal="center" vertical="center" wrapText="1"/>
    </xf>
    <xf numFmtId="0" fontId="82" fillId="0" borderId="25" xfId="41" applyFont="1" applyBorder="1" applyAlignment="1">
      <alignment horizontal="center" vertical="center"/>
    </xf>
    <xf numFmtId="0" fontId="82" fillId="0" borderId="25" xfId="41" applyFont="1" applyBorder="1" applyAlignment="1">
      <alignment horizontal="center" vertical="center" wrapText="1"/>
    </xf>
    <xf numFmtId="0" fontId="82" fillId="0" borderId="24" xfId="41" applyFont="1" applyBorder="1" applyAlignment="1">
      <alignment horizontal="center" vertical="center" wrapText="1"/>
    </xf>
    <xf numFmtId="0" fontId="82" fillId="0" borderId="15" xfId="41" applyFont="1" applyBorder="1" applyAlignment="1">
      <alignment vertical="center"/>
    </xf>
    <xf numFmtId="0" fontId="82" fillId="0" borderId="17" xfId="41" applyFont="1" applyBorder="1" applyAlignment="1">
      <alignment horizontal="left" vertical="center" indent="1"/>
    </xf>
    <xf numFmtId="0" fontId="84" fillId="0" borderId="22" xfId="41" applyFont="1" applyBorder="1" applyAlignment="1">
      <alignment horizontal="center" vertical="center"/>
    </xf>
    <xf numFmtId="0" fontId="82" fillId="0" borderId="29" xfId="41" applyFont="1" applyBorder="1" applyAlignment="1">
      <alignment horizontal="left" vertical="center" indent="1"/>
    </xf>
    <xf numFmtId="0" fontId="84" fillId="0" borderId="78" xfId="41" applyFont="1" applyBorder="1" applyAlignment="1">
      <alignment horizontal="center" vertical="center"/>
    </xf>
    <xf numFmtId="0" fontId="82" fillId="0" borderId="79" xfId="41" applyFont="1" applyBorder="1" applyAlignment="1">
      <alignment horizontal="left" vertical="center" indent="1"/>
    </xf>
    <xf numFmtId="3" fontId="9" fillId="35" borderId="79" xfId="0" applyNumberFormat="1" applyFont="1" applyFill="1" applyBorder="1" applyAlignment="1">
      <alignment horizontal="right" vertical="center" wrapText="1" indent="1"/>
    </xf>
    <xf numFmtId="165" fontId="9" fillId="24" borderId="80" xfId="0" applyNumberFormat="1" applyFont="1" applyFill="1" applyBorder="1" applyAlignment="1">
      <alignment horizontal="right" vertical="center" wrapText="1" indent="1"/>
    </xf>
    <xf numFmtId="0" fontId="81" fillId="0" borderId="0" xfId="41" applyBorder="1" applyAlignment="1">
      <alignment horizontal="center" vertical="center" wrapText="1"/>
    </xf>
    <xf numFmtId="166" fontId="9" fillId="24" borderId="73" xfId="0" applyNumberFormat="1" applyFont="1" applyFill="1" applyBorder="1" applyAlignment="1">
      <alignment horizontal="right" vertical="center" wrapText="1" indent="1"/>
    </xf>
    <xf numFmtId="3" fontId="9" fillId="35" borderId="82" xfId="0" applyNumberFormat="1" applyFont="1" applyFill="1" applyBorder="1" applyAlignment="1">
      <alignment horizontal="right" vertical="center" wrapText="1" indent="1"/>
    </xf>
    <xf numFmtId="165" fontId="9" fillId="24" borderId="81" xfId="0" applyNumberFormat="1" applyFont="1" applyFill="1" applyBorder="1" applyAlignment="1">
      <alignment horizontal="right" vertical="center" wrapText="1" indent="1"/>
    </xf>
    <xf numFmtId="166" fontId="9" fillId="24" borderId="51" xfId="0" applyNumberFormat="1" applyFont="1" applyFill="1" applyBorder="1" applyAlignment="1">
      <alignment horizontal="right" vertical="center" wrapText="1" indent="1"/>
    </xf>
    <xf numFmtId="0" fontId="81" fillId="0" borderId="0" xfId="41" applyFill="1"/>
    <xf numFmtId="0" fontId="5" fillId="47" borderId="0" xfId="0" applyFont="1" applyFill="1" applyAlignment="1">
      <alignment vertical="center" wrapText="1"/>
    </xf>
    <xf numFmtId="0" fontId="10" fillId="32" borderId="83" xfId="0" applyFont="1" applyFill="1" applyBorder="1" applyAlignment="1">
      <alignment vertical="center" wrapText="1"/>
    </xf>
    <xf numFmtId="0" fontId="84" fillId="0" borderId="17" xfId="0" applyFont="1" applyFill="1" applyBorder="1" applyAlignment="1">
      <alignment horizontal="left" vertical="center" wrapText="1" indent="1"/>
    </xf>
    <xf numFmtId="0" fontId="85" fillId="0" borderId="0" xfId="0" applyFont="1" applyAlignment="1">
      <alignment horizontal="center"/>
    </xf>
    <xf numFmtId="0" fontId="5" fillId="0" borderId="0" xfId="40" applyFont="1" applyBorder="1" applyAlignment="1">
      <alignment vertical="center" wrapText="1"/>
    </xf>
    <xf numFmtId="0" fontId="103" fillId="0" borderId="0" xfId="40" applyFont="1" applyBorder="1" applyAlignment="1">
      <alignment vertical="center"/>
    </xf>
    <xf numFmtId="0" fontId="5" fillId="0" borderId="21" xfId="43" applyFont="1" applyBorder="1" applyAlignment="1">
      <alignment horizontal="center" vertical="center" wrapText="1"/>
    </xf>
    <xf numFmtId="2" fontId="81" fillId="0" borderId="0" xfId="41" applyNumberFormat="1" applyAlignment="1"/>
    <xf numFmtId="0" fontId="4" fillId="0" borderId="13" xfId="0" applyFont="1" applyFill="1" applyBorder="1" applyAlignment="1">
      <alignment horizontal="center" vertical="center" wrapText="1"/>
    </xf>
    <xf numFmtId="0" fontId="10" fillId="0" borderId="29" xfId="0" applyFont="1" applyFill="1" applyBorder="1" applyAlignment="1">
      <alignment horizontal="left" vertical="center" wrapText="1" inden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Fill="1" applyBorder="1" applyAlignment="1">
      <alignment horizontal="left" vertical="center" wrapText="1" indent="1"/>
    </xf>
    <xf numFmtId="49" fontId="9" fillId="0" borderId="13" xfId="0" applyNumberFormat="1" applyFont="1" applyFill="1" applyBorder="1" applyAlignment="1">
      <alignment horizontal="left" vertical="center" indent="1"/>
    </xf>
    <xf numFmtId="49" fontId="9" fillId="37" borderId="13" xfId="0" applyNumberFormat="1" applyFont="1" applyFill="1" applyBorder="1" applyAlignment="1">
      <alignment horizontal="left" vertical="center" indent="1"/>
    </xf>
    <xf numFmtId="49" fontId="10" fillId="0" borderId="19" xfId="0" applyNumberFormat="1" applyFont="1" applyFill="1" applyBorder="1" applyAlignment="1">
      <alignment horizontal="left" vertical="center" wrapText="1" indent="1"/>
    </xf>
    <xf numFmtId="3" fontId="88" fillId="35" borderId="13" xfId="0" applyNumberFormat="1" applyFont="1" applyFill="1" applyBorder="1" applyAlignment="1">
      <alignment horizontal="right" vertical="center" wrapText="1" indent="1"/>
    </xf>
    <xf numFmtId="3" fontId="87" fillId="24" borderId="73" xfId="0" applyNumberFormat="1" applyFont="1" applyFill="1" applyBorder="1" applyAlignment="1">
      <alignment horizontal="right" vertical="center" wrapText="1" indent="1"/>
    </xf>
    <xf numFmtId="0" fontId="88" fillId="47" borderId="0" xfId="0" applyFont="1" applyFill="1" applyAlignment="1">
      <alignment vertical="center" wrapText="1"/>
    </xf>
    <xf numFmtId="0" fontId="87" fillId="0" borderId="0" xfId="0" applyFont="1" applyBorder="1" applyAlignment="1">
      <alignment vertical="center" wrapText="1"/>
    </xf>
    <xf numFmtId="0" fontId="88" fillId="0" borderId="0" xfId="0" applyFont="1" applyAlignment="1">
      <alignment vertical="center" wrapText="1"/>
    </xf>
    <xf numFmtId="0" fontId="87" fillId="0" borderId="0" xfId="0" applyFont="1" applyAlignment="1">
      <alignment horizontal="center" vertical="center"/>
    </xf>
    <xf numFmtId="0" fontId="87" fillId="0" borderId="0" xfId="0" applyFont="1" applyAlignment="1">
      <alignment vertical="center" wrapText="1"/>
    </xf>
    <xf numFmtId="49" fontId="87" fillId="0" borderId="17" xfId="0" applyNumberFormat="1" applyFont="1" applyFill="1" applyBorder="1" applyAlignment="1">
      <alignment horizontal="left" vertical="top" wrapText="1" indent="1"/>
    </xf>
    <xf numFmtId="49" fontId="88" fillId="0" borderId="0" xfId="0" applyNumberFormat="1" applyFont="1" applyAlignment="1">
      <alignment horizontal="left" wrapText="1"/>
    </xf>
    <xf numFmtId="49" fontId="110" fillId="0" borderId="13" xfId="0" applyNumberFormat="1" applyFont="1" applyFill="1" applyBorder="1" applyAlignment="1">
      <alignment horizontal="left" vertical="top" wrapText="1" indent="1"/>
    </xf>
    <xf numFmtId="49" fontId="85" fillId="0" borderId="13" xfId="0" applyNumberFormat="1" applyFont="1" applyFill="1" applyBorder="1" applyAlignment="1">
      <alignment horizontal="left" vertical="center" wrapText="1" indent="1"/>
    </xf>
    <xf numFmtId="3" fontId="9" fillId="0" borderId="22" xfId="44" applyNumberFormat="1" applyFont="1" applyFill="1" applyBorder="1" applyAlignment="1">
      <alignment horizontal="center" vertical="center" wrapText="1"/>
    </xf>
    <xf numFmtId="0" fontId="9" fillId="0" borderId="29" xfId="44" applyNumberFormat="1" applyFont="1" applyFill="1" applyBorder="1" applyAlignment="1">
      <alignment horizontal="center" vertical="center" wrapText="1"/>
    </xf>
    <xf numFmtId="0" fontId="9" fillId="37" borderId="29" xfId="44" applyFont="1" applyFill="1" applyBorder="1" applyAlignment="1">
      <alignment horizontal="center" vertical="center" wrapText="1"/>
    </xf>
    <xf numFmtId="3" fontId="9" fillId="0" borderId="30" xfId="44" applyNumberFormat="1" applyFont="1" applyFill="1" applyBorder="1" applyAlignment="1">
      <alignment horizontal="center" vertical="center" wrapText="1"/>
    </xf>
    <xf numFmtId="0" fontId="9" fillId="0" borderId="30" xfId="44" applyNumberFormat="1" applyFont="1" applyFill="1" applyBorder="1" applyAlignment="1">
      <alignment horizontal="center" vertical="center" wrapText="1"/>
    </xf>
    <xf numFmtId="0" fontId="9" fillId="0" borderId="84" xfId="44" applyNumberFormat="1" applyFont="1" applyFill="1" applyBorder="1" applyAlignment="1">
      <alignment horizontal="center" vertical="center" wrapText="1"/>
    </xf>
    <xf numFmtId="0" fontId="9" fillId="37" borderId="31" xfId="44" applyFont="1" applyFill="1" applyBorder="1" applyAlignment="1">
      <alignment horizontal="center" vertical="center" wrapText="1"/>
    </xf>
    <xf numFmtId="0" fontId="9" fillId="37" borderId="53" xfId="44" applyFont="1" applyFill="1" applyBorder="1" applyAlignment="1">
      <alignment horizontal="center" vertical="center" wrapText="1"/>
    </xf>
    <xf numFmtId="0" fontId="9" fillId="37" borderId="64" xfId="44" applyFont="1" applyFill="1" applyBorder="1" applyAlignment="1">
      <alignment horizontal="center" vertical="center" wrapText="1"/>
    </xf>
    <xf numFmtId="0" fontId="92" fillId="0" borderId="0" xfId="0" applyFont="1" applyFill="1" applyAlignment="1">
      <alignment horizontal="center" vertical="center" wrapText="1"/>
    </xf>
    <xf numFmtId="0" fontId="83" fillId="0" borderId="24" xfId="0" applyFont="1" applyBorder="1" applyAlignment="1">
      <alignment horizontal="left" vertical="center" wrapText="1" indent="1"/>
    </xf>
    <xf numFmtId="0" fontId="85" fillId="0" borderId="0" xfId="0" applyFont="1" applyBorder="1"/>
    <xf numFmtId="0" fontId="83" fillId="0" borderId="0" xfId="0" applyFont="1" applyBorder="1"/>
    <xf numFmtId="14" fontId="0" fillId="0" borderId="0" xfId="0" applyNumberFormat="1"/>
    <xf numFmtId="0" fontId="84" fillId="42" borderId="15" xfId="0" applyFont="1" applyFill="1" applyBorder="1" applyAlignment="1">
      <alignment horizontal="right" vertical="center" wrapText="1" indent="1"/>
    </xf>
    <xf numFmtId="0" fontId="83" fillId="48" borderId="13" xfId="0" applyFont="1" applyFill="1" applyBorder="1" applyAlignment="1">
      <alignment vertical="center" wrapText="1"/>
    </xf>
    <xf numFmtId="3" fontId="5" fillId="0" borderId="0" xfId="0" applyNumberFormat="1" applyFont="1" applyFill="1" applyBorder="1"/>
    <xf numFmtId="4" fontId="10" fillId="0" borderId="0" xfId="45" applyNumberFormat="1" applyFont="1" applyBorder="1" applyAlignment="1">
      <alignment vertical="center" wrapText="1"/>
    </xf>
    <xf numFmtId="0" fontId="113" fillId="0" borderId="0" xfId="0" applyFont="1"/>
    <xf numFmtId="0" fontId="70" fillId="0" borderId="0" xfId="0" applyFont="1"/>
    <xf numFmtId="0" fontId="76" fillId="0" borderId="0" xfId="0" applyFont="1"/>
    <xf numFmtId="0" fontId="70" fillId="0" borderId="0" xfId="0" applyFont="1" applyAlignment="1">
      <alignment vertical="center"/>
    </xf>
    <xf numFmtId="0" fontId="114" fillId="0" borderId="0" xfId="0" applyFont="1" applyAlignment="1">
      <alignment wrapText="1"/>
    </xf>
    <xf numFmtId="0" fontId="113" fillId="0" borderId="0" xfId="0" applyFont="1" applyAlignment="1">
      <alignment vertical="center"/>
    </xf>
    <xf numFmtId="0" fontId="70" fillId="38" borderId="0" xfId="0" applyFont="1" applyFill="1"/>
    <xf numFmtId="3" fontId="5" fillId="49" borderId="13" xfId="0" applyNumberFormat="1" applyFont="1" applyFill="1" applyBorder="1" applyAlignment="1">
      <alignment horizontal="right" vertical="center" wrapText="1" indent="1"/>
    </xf>
    <xf numFmtId="0" fontId="113" fillId="49" borderId="0" xfId="0" applyFont="1" applyFill="1" applyAlignment="1">
      <alignment vertical="center"/>
    </xf>
    <xf numFmtId="0" fontId="38" fillId="0" borderId="0" xfId="0" applyFont="1" applyFill="1"/>
    <xf numFmtId="0" fontId="4" fillId="0" borderId="13" xfId="0" applyFont="1" applyFill="1" applyBorder="1" applyAlignment="1">
      <alignment horizontal="center" vertical="center" wrapText="1"/>
    </xf>
    <xf numFmtId="0" fontId="109" fillId="0" borderId="0" xfId="0" applyFont="1" applyBorder="1" applyAlignment="1">
      <alignment horizontal="right"/>
    </xf>
    <xf numFmtId="49" fontId="103" fillId="0" borderId="0" xfId="0" applyNumberFormat="1" applyFont="1" applyBorder="1"/>
    <xf numFmtId="0" fontId="83" fillId="49" borderId="0" xfId="0" applyFont="1" applyFill="1" applyBorder="1" applyAlignment="1">
      <alignment horizontal="left" vertical="center"/>
    </xf>
    <xf numFmtId="0" fontId="5" fillId="49" borderId="0" xfId="0" applyFont="1" applyFill="1" applyAlignment="1">
      <alignment vertical="center" wrapText="1"/>
    </xf>
    <xf numFmtId="0" fontId="32" fillId="49" borderId="0" xfId="0" applyFont="1" applyFill="1" applyBorder="1" applyAlignment="1">
      <alignment horizontal="left"/>
    </xf>
    <xf numFmtId="0" fontId="85" fillId="0" borderId="0" xfId="0" applyFont="1" applyBorder="1" applyAlignment="1">
      <alignment horizontal="right" vertical="center" wrapText="1"/>
    </xf>
    <xf numFmtId="49" fontId="85" fillId="0" borderId="0" xfId="0" applyNumberFormat="1" applyFont="1" applyBorder="1" applyAlignment="1">
      <alignment vertical="center"/>
    </xf>
    <xf numFmtId="0" fontId="82" fillId="0" borderId="13" xfId="0" applyFont="1" applyBorder="1" applyAlignment="1">
      <alignment horizontal="left" vertical="center" wrapText="1" indent="1"/>
    </xf>
    <xf numFmtId="49" fontId="84" fillId="0" borderId="13" xfId="0" applyNumberFormat="1" applyFont="1" applyBorder="1" applyAlignment="1">
      <alignment horizontal="left" vertical="center" wrapText="1" indent="1"/>
    </xf>
    <xf numFmtId="49" fontId="82" fillId="0" borderId="13" xfId="0" applyNumberFormat="1" applyFont="1" applyBorder="1" applyAlignment="1">
      <alignment horizontal="left" vertical="center" wrapText="1" indent="1"/>
    </xf>
    <xf numFmtId="0" fontId="82" fillId="0" borderId="27" xfId="0" applyFont="1" applyBorder="1" applyAlignment="1">
      <alignment horizontal="left" vertical="center" wrapText="1" indent="1"/>
    </xf>
    <xf numFmtId="0" fontId="82" fillId="0" borderId="76" xfId="0" applyFont="1" applyBorder="1" applyAlignment="1">
      <alignment horizontal="left" vertical="center" wrapText="1" indent="1"/>
    </xf>
    <xf numFmtId="0" fontId="88" fillId="0" borderId="0" xfId="0" applyFont="1" applyBorder="1" applyAlignment="1">
      <alignment horizontal="right"/>
    </xf>
    <xf numFmtId="49" fontId="88" fillId="0" borderId="0" xfId="0" applyNumberFormat="1" applyFont="1" applyBorder="1"/>
    <xf numFmtId="49" fontId="82" fillId="0" borderId="13" xfId="43" applyNumberFormat="1" applyFont="1" applyBorder="1" applyAlignment="1">
      <alignment horizontal="left" vertical="center" wrapText="1" indent="1"/>
    </xf>
    <xf numFmtId="49" fontId="84" fillId="0" borderId="13" xfId="43" applyNumberFormat="1" applyFont="1" applyBorder="1" applyAlignment="1">
      <alignment horizontal="left" vertical="center" wrapText="1" indent="1"/>
    </xf>
    <xf numFmtId="49" fontId="84" fillId="0" borderId="19" xfId="0" applyNumberFormat="1" applyFont="1" applyBorder="1" applyAlignment="1">
      <alignment horizontal="left" vertical="center" wrapText="1" indent="1"/>
    </xf>
    <xf numFmtId="49" fontId="82" fillId="0" borderId="19" xfId="0" applyNumberFormat="1" applyFont="1" applyBorder="1" applyAlignment="1">
      <alignment horizontal="left" vertical="center" wrapText="1" indent="1"/>
    </xf>
    <xf numFmtId="0" fontId="82" fillId="0" borderId="17" xfId="0" applyFont="1" applyFill="1" applyBorder="1" applyAlignment="1">
      <alignment horizontal="left" vertical="center" wrapText="1" indent="1"/>
    </xf>
    <xf numFmtId="0" fontId="10" fillId="37" borderId="15" xfId="35" applyFont="1" applyFill="1" applyBorder="1" applyAlignment="1" applyProtection="1">
      <alignment horizontal="left" vertical="center" indent="1"/>
    </xf>
    <xf numFmtId="0" fontId="10" fillId="37" borderId="20" xfId="0" applyFont="1" applyFill="1" applyBorder="1" applyAlignment="1">
      <alignment horizontal="left" vertical="center" wrapText="1" indent="1"/>
    </xf>
    <xf numFmtId="0" fontId="118" fillId="43" borderId="13" xfId="0" applyFont="1" applyFill="1" applyBorder="1" applyAlignment="1">
      <alignment vertical="center" wrapText="1"/>
    </xf>
    <xf numFmtId="0" fontId="82" fillId="0" borderId="63" xfId="0" applyFont="1" applyBorder="1" applyAlignment="1">
      <alignment horizontal="left"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107" fillId="48" borderId="57" xfId="0" applyFont="1" applyFill="1" applyBorder="1" applyAlignment="1">
      <alignment horizontal="center" vertical="center" wrapText="1"/>
    </xf>
    <xf numFmtId="0" fontId="107" fillId="48" borderId="42" xfId="0" applyFont="1" applyFill="1" applyBorder="1" applyAlignment="1">
      <alignment horizontal="center" vertical="center" wrapText="1"/>
    </xf>
    <xf numFmtId="0" fontId="10" fillId="0" borderId="29" xfId="40" applyFont="1" applyBorder="1" applyAlignment="1">
      <alignment horizontal="center" vertical="center" wrapText="1"/>
    </xf>
    <xf numFmtId="0" fontId="10" fillId="0" borderId="34" xfId="40" applyFont="1" applyBorder="1" applyAlignment="1">
      <alignment horizontal="center" vertical="center" wrapText="1"/>
    </xf>
    <xf numFmtId="0" fontId="83" fillId="0" borderId="14" xfId="35" applyFont="1" applyBorder="1" applyAlignment="1" applyProtection="1">
      <alignment horizontal="left" vertical="center"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49" fontId="82" fillId="0" borderId="13" xfId="0" applyNumberFormat="1" applyFont="1" applyFill="1" applyBorder="1" applyAlignment="1">
      <alignment horizontal="left" vertical="center" wrapText="1" indent="1"/>
    </xf>
    <xf numFmtId="49" fontId="122" fillId="0" borderId="17" xfId="0" applyNumberFormat="1" applyFont="1" applyFill="1" applyBorder="1" applyAlignment="1">
      <alignment horizontal="left" vertical="center" wrapText="1" indent="1"/>
    </xf>
    <xf numFmtId="0" fontId="88" fillId="0" borderId="15" xfId="0" applyFont="1" applyFill="1" applyBorder="1" applyAlignment="1">
      <alignment vertical="center"/>
    </xf>
    <xf numFmtId="0" fontId="92" fillId="0" borderId="0" xfId="0" applyFont="1" applyFill="1" applyAlignment="1">
      <alignment horizontal="left" vertical="center" wrapText="1"/>
    </xf>
    <xf numFmtId="0" fontId="123" fillId="0" borderId="0" xfId="0" applyFont="1" applyAlignment="1">
      <alignment vertical="center"/>
    </xf>
    <xf numFmtId="0" fontId="27" fillId="0" borderId="0" xfId="0" applyFont="1" applyAlignment="1">
      <alignment vertical="center" wrapText="1"/>
    </xf>
    <xf numFmtId="49" fontId="27" fillId="0" borderId="0" xfId="0" applyNumberFormat="1" applyFont="1" applyAlignment="1">
      <alignment horizontal="left" vertical="center" wrapText="1" indent="1"/>
    </xf>
    <xf numFmtId="0" fontId="10" fillId="0" borderId="21" xfId="0" applyFont="1" applyBorder="1" applyAlignment="1">
      <alignment horizontal="center" vertical="center" wrapText="1"/>
    </xf>
    <xf numFmtId="49" fontId="5" fillId="42" borderId="13" xfId="0" applyNumberFormat="1" applyFont="1" applyFill="1" applyBorder="1" applyAlignment="1">
      <alignment horizontal="left" vertical="top" wrapText="1" indent="1"/>
    </xf>
    <xf numFmtId="49" fontId="10" fillId="50" borderId="13" xfId="0" applyNumberFormat="1" applyFont="1" applyFill="1" applyBorder="1" applyAlignment="1">
      <alignment horizontal="left" vertical="center" wrapText="1" indent="1"/>
    </xf>
    <xf numFmtId="49" fontId="10" fillId="38" borderId="13" xfId="0" applyNumberFormat="1" applyFont="1" applyFill="1" applyBorder="1" applyAlignment="1">
      <alignment horizontal="left" vertical="center" wrapText="1" indent="1"/>
    </xf>
    <xf numFmtId="0" fontId="83" fillId="37" borderId="43" xfId="0" applyFont="1" applyFill="1" applyBorder="1" applyAlignment="1">
      <alignment horizontal="left" vertical="center" wrapText="1" indent="1"/>
    </xf>
    <xf numFmtId="0" fontId="9" fillId="0" borderId="19" xfId="43" applyFont="1" applyBorder="1" applyAlignment="1">
      <alignment horizontal="left" vertical="top" wrapText="1" indent="1"/>
    </xf>
    <xf numFmtId="3" fontId="5" fillId="35" borderId="26" xfId="43" applyNumberFormat="1" applyFont="1" applyFill="1" applyBorder="1" applyAlignment="1">
      <alignment horizontal="right" vertical="center" wrapText="1" indent="1"/>
    </xf>
    <xf numFmtId="3" fontId="9" fillId="51" borderId="13" xfId="43" applyNumberFormat="1" applyFont="1" applyFill="1" applyBorder="1" applyAlignment="1">
      <alignment horizontal="right" vertical="center" wrapText="1" indent="1"/>
    </xf>
    <xf numFmtId="3" fontId="9" fillId="51" borderId="14" xfId="43" applyNumberFormat="1" applyFont="1" applyFill="1" applyBorder="1" applyAlignment="1">
      <alignment horizontal="center" vertical="center" wrapText="1"/>
    </xf>
    <xf numFmtId="3" fontId="9" fillId="51" borderId="13" xfId="43" applyNumberFormat="1" applyFont="1" applyFill="1" applyBorder="1" applyAlignment="1">
      <alignment horizontal="center" vertical="center" wrapText="1"/>
    </xf>
    <xf numFmtId="3" fontId="9" fillId="51" borderId="14" xfId="43" applyNumberFormat="1" applyFont="1" applyFill="1" applyBorder="1" applyAlignment="1">
      <alignment horizontal="right" vertical="center" wrapText="1" indent="1"/>
    </xf>
    <xf numFmtId="0" fontId="126" fillId="0" borderId="0" xfId="0" applyFont="1" applyAlignment="1">
      <alignment vertical="center" wrapText="1"/>
    </xf>
    <xf numFmtId="0" fontId="86" fillId="0" borderId="0" xfId="0" applyFont="1" applyAlignment="1">
      <alignment horizontal="left" wrapText="1"/>
    </xf>
    <xf numFmtId="0" fontId="86" fillId="0" borderId="0" xfId="0" applyFont="1" applyFill="1" applyAlignment="1">
      <alignment horizontal="left" wrapText="1"/>
    </xf>
    <xf numFmtId="0" fontId="86" fillId="0" borderId="0" xfId="0" applyFont="1" applyFill="1" applyAlignment="1">
      <alignment horizontal="left" vertical="center" wrapText="1"/>
    </xf>
    <xf numFmtId="0" fontId="0" fillId="0" borderId="0" xfId="0" applyAlignment="1">
      <alignment horizontal="left" wrapText="1"/>
    </xf>
    <xf numFmtId="0" fontId="38" fillId="0" borderId="0" xfId="0" applyFont="1" applyAlignment="1">
      <alignment horizontal="left" wrapText="1"/>
    </xf>
    <xf numFmtId="0" fontId="127" fillId="0" borderId="0" xfId="0" applyFont="1" applyFill="1" applyAlignment="1">
      <alignment horizontal="left"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5" fillId="35" borderId="19" xfId="43" applyNumberFormat="1" applyFont="1" applyFill="1" applyBorder="1" applyAlignment="1">
      <alignment horizontal="center" vertical="center" wrapText="1"/>
    </xf>
    <xf numFmtId="0" fontId="5" fillId="0" borderId="0" xfId="40" applyFont="1" applyFill="1" applyBorder="1" applyAlignment="1">
      <alignment vertical="center" wrapText="1"/>
    </xf>
    <xf numFmtId="0" fontId="103" fillId="0" borderId="0" xfId="40" applyFont="1" applyFill="1" applyBorder="1" applyAlignment="1">
      <alignment vertical="center"/>
    </xf>
    <xf numFmtId="0" fontId="5" fillId="0" borderId="13" xfId="43" applyFont="1" applyBorder="1" applyAlignment="1">
      <alignment horizontal="left" vertical="top" wrapText="1" indent="1"/>
    </xf>
    <xf numFmtId="0" fontId="83" fillId="0" borderId="43" xfId="0" applyNumberFormat="1" applyFont="1" applyFill="1" applyBorder="1" applyAlignment="1">
      <alignment horizontal="left" vertical="center" wrapText="1" indent="1"/>
    </xf>
    <xf numFmtId="0" fontId="104" fillId="0" borderId="0" xfId="0" applyFont="1"/>
    <xf numFmtId="0" fontId="92" fillId="0" borderId="0" xfId="0" applyFont="1" applyFill="1" applyAlignment="1">
      <alignment horizontal="left" vertical="center"/>
    </xf>
    <xf numFmtId="0" fontId="84" fillId="47" borderId="15" xfId="0" applyFont="1" applyFill="1" applyBorder="1" applyAlignment="1">
      <alignment horizontal="right" vertical="center" wrapText="1" indent="1"/>
    </xf>
    <xf numFmtId="0" fontId="83" fillId="0" borderId="0" xfId="0" applyFont="1" applyAlignment="1">
      <alignment horizontal="center" vertical="center" wrapText="1"/>
    </xf>
    <xf numFmtId="4" fontId="9" fillId="24" borderId="13" xfId="0" applyNumberFormat="1" applyFont="1" applyFill="1" applyBorder="1" applyAlignment="1">
      <alignment horizontal="right" vertical="center" wrapText="1" indent="1"/>
    </xf>
    <xf numFmtId="4" fontId="5" fillId="35" borderId="13" xfId="0" applyNumberFormat="1" applyFont="1" applyFill="1" applyBorder="1" applyAlignment="1">
      <alignment vertical="center" wrapText="1"/>
    </xf>
    <xf numFmtId="4" fontId="5" fillId="35" borderId="13" xfId="0" applyNumberFormat="1" applyFont="1" applyFill="1" applyBorder="1" applyAlignment="1">
      <alignment vertical="center"/>
    </xf>
    <xf numFmtId="4" fontId="9" fillId="24" borderId="13" xfId="0" applyNumberFormat="1" applyFont="1" applyFill="1" applyBorder="1" applyAlignment="1">
      <alignment vertical="center" wrapText="1"/>
    </xf>
    <xf numFmtId="4" fontId="5" fillId="35" borderId="13" xfId="0" applyNumberFormat="1" applyFont="1" applyFill="1" applyBorder="1" applyAlignment="1">
      <alignment horizontal="center" vertical="center" wrapText="1"/>
    </xf>
    <xf numFmtId="4" fontId="5" fillId="0" borderId="19" xfId="0" applyNumberFormat="1" applyFont="1" applyFill="1" applyBorder="1" applyAlignment="1">
      <alignment vertical="center" wrapText="1"/>
    </xf>
    <xf numFmtId="4" fontId="5" fillId="35" borderId="19" xfId="0" applyNumberFormat="1" applyFont="1" applyFill="1" applyBorder="1" applyAlignment="1">
      <alignment vertical="center" wrapText="1"/>
    </xf>
    <xf numFmtId="166" fontId="70" fillId="38" borderId="0" xfId="0" applyNumberFormat="1" applyFont="1" applyFill="1" applyAlignment="1">
      <alignment horizontal="right" vertical="center" indent="1"/>
    </xf>
    <xf numFmtId="4" fontId="102" fillId="24" borderId="13" xfId="0" applyNumberFormat="1" applyFont="1" applyFill="1" applyBorder="1" applyAlignment="1">
      <alignment horizontal="right" vertical="center" wrapText="1" indent="1"/>
    </xf>
    <xf numFmtId="4" fontId="5" fillId="0" borderId="0" xfId="0" applyNumberFormat="1" applyFont="1"/>
    <xf numFmtId="4" fontId="5" fillId="35" borderId="38" xfId="0" applyNumberFormat="1" applyFont="1" applyFill="1" applyBorder="1" applyAlignment="1">
      <alignment horizontal="right" vertical="center" wrapText="1" indent="1"/>
    </xf>
    <xf numFmtId="4" fontId="9" fillId="24" borderId="38" xfId="0" applyNumberFormat="1" applyFont="1" applyFill="1" applyBorder="1" applyAlignment="1">
      <alignment horizontal="right" vertical="center" wrapText="1" indent="1"/>
    </xf>
    <xf numFmtId="4" fontId="4" fillId="35" borderId="39" xfId="0" applyNumberFormat="1" applyFont="1" applyFill="1" applyBorder="1" applyAlignment="1">
      <alignment horizontal="right" vertical="center" wrapText="1" indent="1"/>
    </xf>
    <xf numFmtId="4" fontId="87" fillId="24"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4" fillId="35" borderId="17" xfId="0" applyNumberFormat="1" applyFont="1" applyFill="1" applyBorder="1" applyAlignment="1">
      <alignment horizontal="right" vertical="center" wrapText="1" indent="1"/>
    </xf>
    <xf numFmtId="4" fontId="5" fillId="0" borderId="0" xfId="0" applyNumberFormat="1" applyFont="1" applyAlignment="1">
      <alignment horizontal="left"/>
    </xf>
    <xf numFmtId="4" fontId="4" fillId="0" borderId="13" xfId="0" applyNumberFormat="1" applyFont="1" applyFill="1" applyBorder="1" applyAlignment="1">
      <alignment horizontal="center" vertical="center" wrapText="1"/>
    </xf>
    <xf numFmtId="4" fontId="9"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xf>
    <xf numFmtId="4" fontId="5" fillId="52" borderId="13" xfId="0" applyNumberFormat="1" applyFont="1" applyFill="1" applyBorder="1" applyAlignment="1">
      <alignment horizontal="right" vertical="center" wrapText="1" indent="1"/>
    </xf>
    <xf numFmtId="4" fontId="85" fillId="0" borderId="0" xfId="0" applyNumberFormat="1" applyFont="1"/>
    <xf numFmtId="4" fontId="5" fillId="37" borderId="0" xfId="0" applyNumberFormat="1" applyFont="1" applyFill="1"/>
    <xf numFmtId="0" fontId="5" fillId="37" borderId="0" xfId="0" applyFont="1" applyFill="1"/>
    <xf numFmtId="4" fontId="70" fillId="0" borderId="0" xfId="0" applyNumberFormat="1" applyFont="1"/>
    <xf numFmtId="4" fontId="10" fillId="35" borderId="13" xfId="0" applyNumberFormat="1" applyFont="1" applyFill="1" applyBorder="1" applyAlignment="1">
      <alignment horizontal="right" vertical="center" wrapText="1" indent="1"/>
    </xf>
    <xf numFmtId="4" fontId="10" fillId="35" borderId="19" xfId="0" applyNumberFormat="1" applyFont="1" applyFill="1" applyBorder="1" applyAlignment="1">
      <alignment horizontal="right" vertical="center" wrapText="1" indent="1"/>
    </xf>
    <xf numFmtId="4" fontId="10" fillId="0" borderId="0" xfId="0" applyNumberFormat="1" applyFont="1" applyAlignment="1">
      <alignment vertical="center" wrapText="1"/>
    </xf>
    <xf numFmtId="0" fontId="128" fillId="35" borderId="14" xfId="0" applyFont="1" applyFill="1" applyBorder="1" applyAlignment="1">
      <alignment horizontal="left" vertical="center" wrapText="1" indent="1"/>
    </xf>
    <xf numFmtId="0" fontId="128" fillId="35" borderId="14" xfId="0" applyFont="1" applyFill="1" applyBorder="1" applyAlignment="1">
      <alignment horizontal="left" vertical="top" wrapText="1" indent="1"/>
    </xf>
    <xf numFmtId="0" fontId="128" fillId="35" borderId="26" xfId="0" applyFont="1" applyFill="1" applyBorder="1" applyAlignment="1">
      <alignment horizontal="left" vertical="center" wrapText="1" indent="1"/>
    </xf>
    <xf numFmtId="0" fontId="128" fillId="35" borderId="14" xfId="90" applyFont="1" applyFill="1" applyBorder="1" applyAlignment="1">
      <alignment horizontal="left" vertical="center" wrapText="1" indent="1"/>
    </xf>
    <xf numFmtId="167" fontId="4" fillId="35" borderId="14" xfId="91" applyNumberFormat="1" applyFont="1" applyFill="1" applyBorder="1" applyAlignment="1">
      <alignment horizontal="right" vertical="center" wrapText="1" indent="1"/>
    </xf>
    <xf numFmtId="167" fontId="4" fillId="24" borderId="14" xfId="91" applyNumberFormat="1" applyFont="1" applyFill="1" applyBorder="1" applyAlignment="1">
      <alignment horizontal="right" vertical="center" wrapText="1" indent="1"/>
    </xf>
    <xf numFmtId="167" fontId="10" fillId="35" borderId="14" xfId="91" applyNumberFormat="1" applyFont="1" applyFill="1" applyBorder="1" applyAlignment="1">
      <alignment horizontal="right" vertical="center" wrapText="1" indent="1"/>
    </xf>
    <xf numFmtId="167" fontId="4" fillId="24" borderId="18" xfId="91" applyNumberFormat="1" applyFont="1" applyFill="1" applyBorder="1" applyAlignment="1">
      <alignment horizontal="right" vertical="center" wrapText="1" indent="1"/>
    </xf>
    <xf numFmtId="3" fontId="32" fillId="0" borderId="0" xfId="0" applyNumberFormat="1" applyFont="1" applyBorder="1" applyAlignment="1">
      <alignment horizontal="left" vertical="center"/>
    </xf>
    <xf numFmtId="4" fontId="9" fillId="24" borderId="51" xfId="0" applyNumberFormat="1" applyFont="1" applyFill="1" applyBorder="1" applyAlignment="1">
      <alignment horizontal="right" vertical="center" wrapText="1" indent="1"/>
    </xf>
    <xf numFmtId="166" fontId="76" fillId="40" borderId="13" xfId="0" applyNumberFormat="1" applyFont="1" applyFill="1" applyBorder="1" applyAlignment="1">
      <alignment vertical="center" wrapText="1"/>
    </xf>
    <xf numFmtId="166" fontId="70" fillId="39" borderId="13" xfId="0" applyNumberFormat="1" applyFont="1" applyFill="1" applyBorder="1" applyAlignment="1">
      <alignment vertical="center" wrapText="1"/>
    </xf>
    <xf numFmtId="166" fontId="76" fillId="0" borderId="13" xfId="0" applyNumberFormat="1" applyFont="1" applyFill="1" applyBorder="1" applyAlignment="1">
      <alignment horizontal="center" vertical="center" wrapText="1"/>
    </xf>
    <xf numFmtId="166" fontId="76" fillId="39" borderId="13" xfId="0" applyNumberFormat="1" applyFont="1" applyFill="1" applyBorder="1" applyAlignment="1">
      <alignment vertical="center" wrapText="1"/>
    </xf>
    <xf numFmtId="166" fontId="70" fillId="39" borderId="17" xfId="0" applyNumberFormat="1" applyFont="1" applyFill="1" applyBorder="1" applyAlignment="1">
      <alignment vertical="center"/>
    </xf>
    <xf numFmtId="166" fontId="76" fillId="35" borderId="13" xfId="0" applyNumberFormat="1" applyFont="1" applyFill="1" applyBorder="1" applyAlignment="1">
      <alignment vertical="center" wrapText="1"/>
    </xf>
    <xf numFmtId="166" fontId="76" fillId="24" borderId="13" xfId="0" applyNumberFormat="1" applyFont="1" applyFill="1" applyBorder="1" applyAlignment="1">
      <alignment vertical="center" wrapText="1"/>
    </xf>
    <xf numFmtId="166" fontId="70" fillId="35" borderId="13" xfId="0" applyNumberFormat="1" applyFont="1" applyFill="1" applyBorder="1" applyAlignment="1">
      <alignment vertical="center" wrapText="1"/>
    </xf>
    <xf numFmtId="166" fontId="70" fillId="39" borderId="13" xfId="0" applyNumberFormat="1" applyFont="1" applyFill="1" applyBorder="1" applyAlignment="1">
      <alignment vertical="top" wrapText="1"/>
    </xf>
    <xf numFmtId="166" fontId="90" fillId="0" borderId="13" xfId="0" applyNumberFormat="1" applyFont="1" applyFill="1" applyBorder="1" applyAlignment="1">
      <alignment horizontal="center" vertical="center" wrapText="1"/>
    </xf>
    <xf numFmtId="166" fontId="91" fillId="39" borderId="13" xfId="0" applyNumberFormat="1" applyFont="1" applyFill="1" applyBorder="1" applyAlignment="1">
      <alignment vertical="center" wrapText="1"/>
    </xf>
    <xf numFmtId="166" fontId="76" fillId="41" borderId="13" xfId="0" applyNumberFormat="1" applyFont="1" applyFill="1" applyBorder="1" applyAlignment="1">
      <alignment horizontal="center" vertical="center" wrapText="1"/>
    </xf>
    <xf numFmtId="166" fontId="90" fillId="41" borderId="13" xfId="0" applyNumberFormat="1" applyFont="1" applyFill="1" applyBorder="1" applyAlignment="1">
      <alignment horizontal="center" vertical="center" wrapText="1"/>
    </xf>
    <xf numFmtId="166" fontId="70" fillId="35" borderId="17" xfId="0" applyNumberFormat="1" applyFont="1" applyFill="1" applyBorder="1" applyAlignment="1">
      <alignment vertical="center"/>
    </xf>
    <xf numFmtId="3" fontId="10" fillId="35" borderId="17" xfId="0" applyNumberFormat="1" applyFont="1" applyFill="1" applyBorder="1" applyAlignment="1">
      <alignment horizontal="right" vertical="center" wrapText="1" indent="1"/>
    </xf>
    <xf numFmtId="4" fontId="5" fillId="0" borderId="0" xfId="0" applyNumberFormat="1" applyFont="1" applyFill="1" applyBorder="1"/>
    <xf numFmtId="49" fontId="5" fillId="52" borderId="0" xfId="0" applyNumberFormat="1" applyFont="1" applyFill="1" applyBorder="1" applyAlignment="1">
      <alignment horizontal="left" indent="1"/>
    </xf>
    <xf numFmtId="4" fontId="85" fillId="0" borderId="0" xfId="0" applyNumberFormat="1" applyFont="1" applyFill="1" applyBorder="1"/>
    <xf numFmtId="0" fontId="85" fillId="0" borderId="0" xfId="0" applyFont="1" applyFill="1" applyBorder="1"/>
    <xf numFmtId="4" fontId="113" fillId="0" borderId="0" xfId="0" applyNumberFormat="1" applyFont="1"/>
    <xf numFmtId="4" fontId="114" fillId="0" borderId="0" xfId="0" applyNumberFormat="1" applyFont="1"/>
    <xf numFmtId="4" fontId="5" fillId="0" borderId="0" xfId="0" applyNumberFormat="1" applyFont="1" applyAlignment="1">
      <alignment vertical="center"/>
    </xf>
    <xf numFmtId="4" fontId="5" fillId="37" borderId="0" xfId="0" applyNumberFormat="1" applyFont="1" applyFill="1" applyBorder="1"/>
    <xf numFmtId="0" fontId="5" fillId="37" borderId="0" xfId="0" applyFont="1" applyFill="1" applyBorder="1"/>
    <xf numFmtId="164" fontId="10" fillId="35" borderId="37" xfId="27" applyFont="1" applyFill="1" applyBorder="1" applyAlignment="1">
      <alignment horizontal="right" vertical="center" wrapText="1" indent="1"/>
    </xf>
    <xf numFmtId="164" fontId="10" fillId="35" borderId="20" xfId="27" applyFont="1" applyFill="1" applyBorder="1" applyAlignment="1">
      <alignment horizontal="right" vertical="center" wrapText="1" indent="1"/>
    </xf>
    <xf numFmtId="164" fontId="10" fillId="35" borderId="35" xfId="27" applyFont="1" applyFill="1" applyBorder="1" applyAlignment="1">
      <alignment horizontal="right" vertical="center" wrapText="1" indent="1"/>
    </xf>
    <xf numFmtId="164" fontId="4" fillId="24" borderId="20" xfId="27" applyFont="1" applyFill="1" applyBorder="1" applyAlignment="1">
      <alignment horizontal="right" vertical="center" wrapText="1" indent="1"/>
    </xf>
    <xf numFmtId="164" fontId="4" fillId="24" borderId="50" xfId="27" applyFont="1" applyFill="1" applyBorder="1" applyAlignment="1">
      <alignment horizontal="right" vertical="center" wrapText="1" indent="1"/>
    </xf>
    <xf numFmtId="164" fontId="4" fillId="24" borderId="36" xfId="27" applyFont="1" applyFill="1" applyBorder="1" applyAlignment="1">
      <alignment horizontal="right" vertical="center" wrapText="1" indent="1"/>
    </xf>
    <xf numFmtId="4" fontId="10" fillId="35" borderId="37" xfId="44" applyNumberFormat="1" applyFont="1" applyFill="1" applyBorder="1" applyAlignment="1">
      <alignment horizontal="right" vertical="center" wrapText="1" indent="1"/>
    </xf>
    <xf numFmtId="4" fontId="10" fillId="35" borderId="20" xfId="44" applyNumberFormat="1" applyFont="1" applyFill="1" applyBorder="1" applyAlignment="1">
      <alignment horizontal="right" vertical="center" wrapText="1" indent="1"/>
    </xf>
    <xf numFmtId="4" fontId="10" fillId="35" borderId="35" xfId="44" applyNumberFormat="1" applyFont="1" applyFill="1" applyBorder="1" applyAlignment="1">
      <alignment horizontal="right" vertical="center" wrapText="1" indent="1"/>
    </xf>
    <xf numFmtId="4" fontId="4" fillId="24" borderId="20" xfId="0" applyNumberFormat="1" applyFont="1" applyFill="1" applyBorder="1" applyAlignment="1">
      <alignment horizontal="right" vertical="center" wrapText="1" indent="1"/>
    </xf>
    <xf numFmtId="4" fontId="4" fillId="24" borderId="55" xfId="0" applyNumberFormat="1" applyFont="1" applyFill="1" applyBorder="1" applyAlignment="1">
      <alignment horizontal="right" vertical="center" wrapText="1" indent="1"/>
    </xf>
    <xf numFmtId="4" fontId="4" fillId="24" borderId="31" xfId="0" applyNumberFormat="1" applyFont="1" applyFill="1" applyBorder="1" applyAlignment="1">
      <alignment horizontal="right" vertical="center" wrapText="1" indent="1"/>
    </xf>
    <xf numFmtId="4" fontId="4" fillId="24" borderId="53" xfId="0" applyNumberFormat="1" applyFont="1" applyFill="1" applyBorder="1" applyAlignment="1">
      <alignment horizontal="right" vertical="center" wrapText="1" indent="1"/>
    </xf>
    <xf numFmtId="166" fontId="81" fillId="0" borderId="0" xfId="41" applyNumberFormat="1" applyAlignment="1">
      <alignment horizontal="center" vertical="center"/>
    </xf>
    <xf numFmtId="0" fontId="82" fillId="0" borderId="20" xfId="41" applyFont="1" applyBorder="1" applyAlignment="1">
      <alignment horizontal="center" vertical="center"/>
    </xf>
    <xf numFmtId="4" fontId="81" fillId="0" borderId="20" xfId="41" applyNumberFormat="1" applyBorder="1"/>
    <xf numFmtId="0" fontId="81" fillId="0" borderId="27" xfId="41" applyBorder="1"/>
    <xf numFmtId="4" fontId="5" fillId="0" borderId="0" xfId="0" applyNumberFormat="1" applyFont="1" applyAlignment="1">
      <alignment vertical="center" wrapText="1"/>
    </xf>
    <xf numFmtId="3" fontId="5" fillId="0" borderId="0" xfId="0" applyNumberFormat="1" applyFont="1" applyAlignment="1">
      <alignment vertical="center" wrapText="1"/>
    </xf>
    <xf numFmtId="0" fontId="5" fillId="0" borderId="68" xfId="0" applyFont="1" applyBorder="1" applyAlignment="1">
      <alignment vertical="center" wrapText="1"/>
    </xf>
    <xf numFmtId="4" fontId="5" fillId="0" borderId="12" xfId="0" applyNumberFormat="1" applyFont="1" applyBorder="1" applyAlignment="1">
      <alignment vertical="center" wrapText="1"/>
    </xf>
    <xf numFmtId="0" fontId="5" fillId="0" borderId="85" xfId="0" applyFont="1" applyBorder="1" applyAlignment="1">
      <alignment vertical="center" wrapText="1"/>
    </xf>
    <xf numFmtId="4" fontId="9" fillId="0" borderId="12" xfId="0" applyNumberFormat="1" applyFont="1" applyBorder="1" applyAlignment="1">
      <alignment vertical="center" wrapText="1"/>
    </xf>
    <xf numFmtId="0" fontId="9" fillId="0" borderId="0" xfId="0" applyFont="1" applyBorder="1" applyAlignment="1">
      <alignment vertical="center" wrapText="1"/>
    </xf>
    <xf numFmtId="0" fontId="5" fillId="0" borderId="12" xfId="0" applyFont="1" applyBorder="1" applyAlignment="1">
      <alignment vertical="center" wrapText="1"/>
    </xf>
    <xf numFmtId="4" fontId="9" fillId="0" borderId="86" xfId="0" applyNumberFormat="1" applyFont="1" applyBorder="1" applyAlignment="1">
      <alignment vertical="center" wrapText="1"/>
    </xf>
    <xf numFmtId="0" fontId="9" fillId="0" borderId="87" xfId="0" applyFont="1" applyBorder="1" applyAlignment="1">
      <alignment vertical="center" wrapText="1"/>
    </xf>
    <xf numFmtId="0" fontId="5" fillId="0" borderId="88" xfId="0" applyFont="1" applyBorder="1" applyAlignment="1">
      <alignment vertical="center" wrapText="1"/>
    </xf>
    <xf numFmtId="4" fontId="5" fillId="35" borderId="14" xfId="0" applyNumberFormat="1" applyFont="1" applyFill="1" applyBorder="1" applyAlignment="1">
      <alignment horizontal="right" vertical="center" wrapText="1" indent="1"/>
    </xf>
    <xf numFmtId="4" fontId="5" fillId="0" borderId="0" xfId="40" applyNumberFormat="1" applyFont="1"/>
    <xf numFmtId="4" fontId="5" fillId="0" borderId="0" xfId="40" applyNumberFormat="1" applyFont="1" applyAlignment="1">
      <alignment vertical="center" wrapText="1"/>
    </xf>
    <xf numFmtId="4" fontId="9" fillId="35" borderId="20" xfId="0" applyNumberFormat="1" applyFont="1" applyFill="1" applyBorder="1" applyAlignment="1">
      <alignment horizontal="right" vertical="center" wrapText="1" indent="1"/>
    </xf>
    <xf numFmtId="4" fontId="9" fillId="53" borderId="27" xfId="0" applyNumberFormat="1" applyFont="1" applyFill="1" applyBorder="1" applyAlignment="1">
      <alignment horizontal="right" vertical="center" wrapText="1" indent="1"/>
    </xf>
    <xf numFmtId="4" fontId="9" fillId="35" borderId="14"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4" fontId="5" fillId="35" borderId="13" xfId="0" applyNumberFormat="1" applyFont="1" applyFill="1" applyBorder="1" applyAlignment="1">
      <alignment horizontal="right" vertical="center" wrapText="1" indent="1"/>
    </xf>
    <xf numFmtId="3" fontId="10" fillId="35" borderId="13" xfId="0" applyNumberFormat="1" applyFont="1" applyFill="1" applyBorder="1" applyAlignment="1">
      <alignment horizontal="right" vertical="center" wrapText="1" indent="1"/>
    </xf>
    <xf numFmtId="3" fontId="5" fillId="35" borderId="13" xfId="0" applyNumberFormat="1" applyFont="1" applyFill="1" applyBorder="1" applyAlignment="1">
      <alignment horizontal="right" vertical="center" wrapText="1" indent="1"/>
    </xf>
    <xf numFmtId="4" fontId="5" fillId="35" borderId="27" xfId="90" applyNumberFormat="1" applyFont="1" applyFill="1" applyBorder="1" applyAlignment="1">
      <alignment horizontal="right" vertical="center" wrapText="1" indent="1"/>
    </xf>
    <xf numFmtId="4" fontId="9" fillId="35" borderId="27" xfId="90" applyNumberFormat="1" applyFont="1" applyFill="1" applyBorder="1" applyAlignment="1">
      <alignment horizontal="right" vertical="center" wrapText="1" indent="1"/>
    </xf>
    <xf numFmtId="4" fontId="5" fillId="0" borderId="27" xfId="90" applyNumberFormat="1" applyFont="1" applyFill="1" applyBorder="1" applyAlignment="1">
      <alignment horizontal="right" vertical="center" wrapText="1" indent="1"/>
    </xf>
    <xf numFmtId="4" fontId="10" fillId="35" borderId="27" xfId="90" applyNumberFormat="1" applyFont="1" applyFill="1" applyBorder="1" applyAlignment="1">
      <alignment horizontal="right" vertical="center" wrapText="1" indent="1"/>
    </xf>
    <xf numFmtId="3" fontId="5" fillId="35" borderId="26" xfId="0" applyNumberFormat="1" applyFont="1" applyFill="1" applyBorder="1" applyAlignment="1">
      <alignment horizontal="right" vertical="center" wrapText="1" indent="1"/>
    </xf>
    <xf numFmtId="4" fontId="5" fillId="35" borderId="13" xfId="90" applyNumberFormat="1" applyFont="1" applyFill="1" applyBorder="1" applyAlignment="1">
      <alignment horizontal="right" vertical="center" wrapText="1" indent="1"/>
    </xf>
    <xf numFmtId="4" fontId="5" fillId="35" borderId="14" xfId="90" applyNumberFormat="1" applyFont="1" applyFill="1" applyBorder="1" applyAlignment="1">
      <alignment horizontal="right" vertical="center" wrapText="1" indent="1"/>
    </xf>
    <xf numFmtId="0" fontId="5" fillId="0" borderId="0" xfId="0" applyFont="1" applyAlignment="1">
      <alignment vertical="center" wrapText="1"/>
    </xf>
    <xf numFmtId="3" fontId="5" fillId="35" borderId="13" xfId="0" applyNumberFormat="1" applyFont="1" applyFill="1" applyBorder="1" applyAlignment="1">
      <alignment horizontal="right" vertical="center" wrapText="1" indent="1"/>
    </xf>
    <xf numFmtId="3" fontId="5" fillId="35" borderId="14"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5" fillId="35" borderId="19" xfId="0" applyNumberFormat="1" applyFont="1" applyFill="1" applyBorder="1" applyAlignment="1">
      <alignment horizontal="right" vertical="center" wrapText="1" indent="1"/>
    </xf>
    <xf numFmtId="3" fontId="5" fillId="35" borderId="17" xfId="90" applyNumberFormat="1" applyFont="1" applyFill="1" applyBorder="1" applyAlignment="1">
      <alignment horizontal="right" vertical="center" wrapText="1" indent="1"/>
    </xf>
    <xf numFmtId="3" fontId="5" fillId="35" borderId="18" xfId="90" applyNumberFormat="1" applyFont="1" applyFill="1" applyBorder="1" applyAlignment="1">
      <alignment horizontal="right" vertical="center" wrapText="1" indent="1"/>
    </xf>
    <xf numFmtId="4" fontId="5" fillId="0" borderId="0" xfId="0" applyNumberFormat="1" applyFont="1" applyAlignment="1">
      <alignment vertical="center" wrapText="1"/>
    </xf>
    <xf numFmtId="4" fontId="5" fillId="0" borderId="0" xfId="0" applyNumberFormat="1" applyFont="1"/>
    <xf numFmtId="4" fontId="5" fillId="35" borderId="13" xfId="0" applyNumberFormat="1" applyFont="1" applyFill="1" applyBorder="1" applyAlignment="1">
      <alignment horizontal="right" vertical="center" wrapText="1" indent="1"/>
    </xf>
    <xf numFmtId="4" fontId="5" fillId="35" borderId="19" xfId="0" applyNumberFormat="1" applyFont="1" applyFill="1" applyBorder="1" applyAlignment="1">
      <alignment horizontal="right" vertical="center" wrapText="1" indent="1"/>
    </xf>
    <xf numFmtId="3" fontId="5" fillId="35" borderId="26" xfId="0" applyNumberFormat="1" applyFont="1" applyFill="1" applyBorder="1" applyAlignment="1">
      <alignment horizontal="right" vertical="center" wrapText="1" indent="1"/>
    </xf>
    <xf numFmtId="3" fontId="5" fillId="35" borderId="18" xfId="0" applyNumberFormat="1" applyFont="1" applyFill="1" applyBorder="1" applyAlignment="1">
      <alignment horizontal="right" vertical="center" wrapText="1" indent="1"/>
    </xf>
    <xf numFmtId="4" fontId="9" fillId="24" borderId="13" xfId="0" applyNumberFormat="1" applyFont="1" applyFill="1" applyBorder="1" applyAlignment="1">
      <alignment horizontal="right" vertical="center" wrapText="1" indent="1"/>
    </xf>
    <xf numFmtId="0" fontId="6" fillId="0" borderId="0" xfId="90" applyFont="1" applyAlignment="1">
      <alignment horizontal="center" vertical="center" wrapText="1"/>
    </xf>
    <xf numFmtId="0" fontId="5" fillId="0" borderId="0" xfId="90" applyFont="1"/>
    <xf numFmtId="0" fontId="5" fillId="0" borderId="0" xfId="90" applyFont="1" applyAlignment="1">
      <alignment horizontal="left" vertical="center" wrapText="1"/>
    </xf>
    <xf numFmtId="0" fontId="4" fillId="0" borderId="15" xfId="90" applyFont="1" applyBorder="1" applyAlignment="1">
      <alignment horizontal="center" vertical="center" wrapText="1"/>
    </xf>
    <xf numFmtId="0" fontId="4" fillId="0" borderId="13" xfId="90" applyFont="1" applyBorder="1" applyAlignment="1">
      <alignment horizontal="center" vertical="center" wrapText="1"/>
    </xf>
    <xf numFmtId="0" fontId="9" fillId="0" borderId="14" xfId="90" applyFont="1" applyBorder="1" applyAlignment="1">
      <alignment horizontal="center" vertical="center" wrapText="1"/>
    </xf>
    <xf numFmtId="0" fontId="4" fillId="0" borderId="0" xfId="90" applyFont="1"/>
    <xf numFmtId="0" fontId="5" fillId="0" borderId="15" xfId="90" applyFont="1" applyBorder="1" applyAlignment="1">
      <alignment horizontal="center" vertical="center" wrapText="1"/>
    </xf>
    <xf numFmtId="49" fontId="4" fillId="0" borderId="13" xfId="90" applyNumberFormat="1" applyFont="1" applyBorder="1" applyAlignment="1">
      <alignment horizontal="left" vertical="center" wrapText="1" indent="1"/>
    </xf>
    <xf numFmtId="3" fontId="4" fillId="0" borderId="13" xfId="90" applyNumberFormat="1" applyFont="1" applyFill="1" applyBorder="1" applyAlignment="1">
      <alignment horizontal="center" vertical="center" wrapText="1"/>
    </xf>
    <xf numFmtId="3" fontId="4" fillId="0" borderId="14" xfId="90" applyNumberFormat="1" applyFont="1" applyFill="1" applyBorder="1" applyAlignment="1">
      <alignment horizontal="center" vertical="center" wrapText="1"/>
    </xf>
    <xf numFmtId="0" fontId="5" fillId="0" borderId="0" xfId="90" applyFont="1" applyAlignment="1">
      <alignment vertical="center" wrapText="1"/>
    </xf>
    <xf numFmtId="0" fontId="5" fillId="0" borderId="15" xfId="90" applyFont="1" applyBorder="1" applyAlignment="1">
      <alignment horizontal="center" vertical="center"/>
    </xf>
    <xf numFmtId="0" fontId="4" fillId="0" borderId="13" xfId="90" applyFont="1" applyBorder="1" applyAlignment="1">
      <alignment horizontal="left" vertical="top" wrapText="1" indent="1"/>
    </xf>
    <xf numFmtId="0" fontId="5" fillId="0" borderId="13" xfId="90" applyFont="1" applyBorder="1" applyAlignment="1">
      <alignment horizontal="left" vertical="top" wrapText="1" indent="1"/>
    </xf>
    <xf numFmtId="0" fontId="10" fillId="0" borderId="13" xfId="90" applyFont="1" applyBorder="1" applyAlignment="1">
      <alignment horizontal="left" vertical="top" wrapText="1" indent="1"/>
    </xf>
    <xf numFmtId="0" fontId="5" fillId="0" borderId="16" xfId="90" applyFont="1" applyBorder="1" applyAlignment="1">
      <alignment horizontal="center" vertical="center"/>
    </xf>
    <xf numFmtId="0" fontId="4" fillId="0" borderId="17" xfId="90" applyFont="1" applyBorder="1" applyAlignment="1">
      <alignment horizontal="left" wrapText="1" indent="1"/>
    </xf>
    <xf numFmtId="4" fontId="5" fillId="0" borderId="0" xfId="90" applyNumberFormat="1" applyFont="1" applyAlignment="1">
      <alignment horizontal="center" vertical="center"/>
    </xf>
    <xf numFmtId="4" fontId="5" fillId="0" borderId="0" xfId="90" applyNumberFormat="1" applyFont="1" applyAlignment="1">
      <alignment horizontal="left" indent="1"/>
    </xf>
    <xf numFmtId="4" fontId="5" fillId="0" borderId="0" xfId="90" applyNumberFormat="1" applyFont="1"/>
    <xf numFmtId="4" fontId="12" fillId="0" borderId="0" xfId="90" applyNumberFormat="1" applyFont="1" applyAlignment="1">
      <alignment horizontal="center" vertical="center"/>
    </xf>
    <xf numFmtId="4" fontId="12" fillId="0" borderId="0" xfId="90" applyNumberFormat="1" applyFont="1" applyAlignment="1">
      <alignment horizontal="left" indent="1"/>
    </xf>
    <xf numFmtId="4" fontId="12" fillId="0" borderId="0" xfId="90" applyNumberFormat="1" applyFont="1"/>
    <xf numFmtId="0" fontId="12" fillId="0" borderId="0" xfId="90" applyFont="1"/>
    <xf numFmtId="0" fontId="5" fillId="0" borderId="0" xfId="90" applyFont="1" applyAlignment="1">
      <alignment horizontal="center" vertical="center"/>
    </xf>
    <xf numFmtId="0" fontId="5" fillId="0" borderId="0" xfId="90" applyFont="1" applyAlignment="1">
      <alignment horizontal="left" indent="1"/>
    </xf>
    <xf numFmtId="4" fontId="5" fillId="0" borderId="0" xfId="0" applyNumberFormat="1" applyFont="1" applyAlignment="1">
      <alignment vertical="top" wrapText="1"/>
    </xf>
    <xf numFmtId="4" fontId="5" fillId="0" borderId="0" xfId="0" applyNumberFormat="1" applyFont="1" applyFill="1"/>
    <xf numFmtId="4" fontId="5" fillId="0" borderId="0" xfId="0" applyNumberFormat="1" applyFont="1" applyAlignment="1"/>
    <xf numFmtId="4" fontId="4" fillId="24" borderId="13" xfId="0" applyNumberFormat="1" applyFont="1" applyFill="1" applyBorder="1" applyAlignment="1">
      <alignment horizontal="right" vertical="center" wrapText="1" indent="1"/>
    </xf>
    <xf numFmtId="4" fontId="4" fillId="24" borderId="14" xfId="0" applyNumberFormat="1" applyFont="1" applyFill="1" applyBorder="1" applyAlignment="1">
      <alignment horizontal="right" vertical="center" wrapText="1" indent="1"/>
    </xf>
    <xf numFmtId="4" fontId="5" fillId="0" borderId="13" xfId="0" applyNumberFormat="1" applyFont="1" applyFill="1" applyBorder="1" applyAlignment="1">
      <alignment horizontal="right" vertical="center" wrapText="1" indent="1"/>
    </xf>
    <xf numFmtId="4" fontId="4" fillId="0" borderId="14" xfId="0" applyNumberFormat="1" applyFont="1" applyFill="1" applyBorder="1" applyAlignment="1">
      <alignment horizontal="right" vertical="center" wrapText="1" indent="1"/>
    </xf>
    <xf numFmtId="4" fontId="5" fillId="0" borderId="19" xfId="0" applyNumberFormat="1" applyFont="1" applyFill="1" applyBorder="1" applyAlignment="1">
      <alignment horizontal="right" vertical="center" wrapText="1" indent="1"/>
    </xf>
    <xf numFmtId="4" fontId="9" fillId="24" borderId="19" xfId="0" applyNumberFormat="1" applyFont="1" applyFill="1" applyBorder="1" applyAlignment="1">
      <alignment horizontal="right" vertical="center" wrapText="1" indent="1"/>
    </xf>
    <xf numFmtId="4" fontId="9" fillId="24" borderId="18" xfId="0" applyNumberFormat="1" applyFont="1" applyFill="1" applyBorder="1" applyAlignment="1">
      <alignment horizontal="right" vertical="center" wrapText="1" indent="1"/>
    </xf>
    <xf numFmtId="0" fontId="92" fillId="0" borderId="0" xfId="0" applyFont="1" applyAlignment="1">
      <alignment vertical="center" wrapText="1"/>
    </xf>
    <xf numFmtId="0" fontId="0" fillId="0" borderId="0" xfId="0"/>
    <xf numFmtId="4" fontId="9" fillId="24" borderId="38" xfId="40" applyNumberFormat="1" applyFont="1" applyFill="1" applyBorder="1" applyAlignment="1">
      <alignment horizontal="right" vertical="center" wrapText="1" indent="1"/>
    </xf>
    <xf numFmtId="4" fontId="5" fillId="35" borderId="38" xfId="40" applyNumberFormat="1" applyFont="1" applyFill="1" applyBorder="1" applyAlignment="1">
      <alignment horizontal="right" vertical="center" wrapText="1" indent="1"/>
    </xf>
    <xf numFmtId="4" fontId="5" fillId="24" borderId="38" xfId="40" applyNumberFormat="1" applyFont="1" applyFill="1" applyBorder="1" applyAlignment="1">
      <alignment horizontal="right" vertical="center" wrapText="1" indent="1"/>
    </xf>
    <xf numFmtId="4" fontId="9" fillId="35" borderId="38" xfId="40" applyNumberFormat="1" applyFont="1" applyFill="1" applyBorder="1" applyAlignment="1">
      <alignment horizontal="right" vertical="center" wrapText="1" indent="1"/>
    </xf>
    <xf numFmtId="4" fontId="5" fillId="0" borderId="38" xfId="40" applyNumberFormat="1" applyFont="1" applyFill="1" applyBorder="1" applyAlignment="1">
      <alignment horizontal="right" vertical="center" wrapText="1" indent="1"/>
    </xf>
    <xf numFmtId="4" fontId="10" fillId="35" borderId="38" xfId="40" applyNumberFormat="1" applyFont="1" applyFill="1" applyBorder="1" applyAlignment="1">
      <alignment horizontal="right" vertical="center" wrapText="1" indent="1"/>
    </xf>
    <xf numFmtId="4" fontId="9" fillId="24" borderId="39" xfId="40" applyNumberFormat="1" applyFont="1" applyFill="1" applyBorder="1" applyAlignment="1">
      <alignment horizontal="right" vertical="center" wrapText="1" indent="1"/>
    </xf>
    <xf numFmtId="4" fontId="5" fillId="0" borderId="0" xfId="0" applyNumberFormat="1" applyFont="1" applyBorder="1" applyAlignment="1">
      <alignment vertical="center" wrapText="1"/>
    </xf>
    <xf numFmtId="3" fontId="83" fillId="0" borderId="0" xfId="45" applyNumberFormat="1" applyFont="1" applyBorder="1" applyAlignment="1">
      <alignment vertical="center" wrapText="1"/>
    </xf>
    <xf numFmtId="4" fontId="0" fillId="0" borderId="0" xfId="0" applyNumberFormat="1"/>
    <xf numFmtId="0" fontId="0" fillId="0" borderId="13" xfId="0" applyBorder="1"/>
    <xf numFmtId="4" fontId="0" fillId="0" borderId="13" xfId="0" applyNumberFormat="1" applyBorder="1"/>
    <xf numFmtId="3" fontId="5" fillId="0" borderId="0" xfId="90" applyNumberFormat="1" applyFont="1"/>
    <xf numFmtId="4" fontId="9" fillId="24" borderId="13" xfId="90" applyNumberFormat="1" applyFont="1" applyFill="1" applyBorder="1" applyAlignment="1">
      <alignment horizontal="right" vertical="center" wrapText="1" indent="1"/>
    </xf>
    <xf numFmtId="4" fontId="9" fillId="24" borderId="14" xfId="90" applyNumberFormat="1" applyFont="1" applyFill="1" applyBorder="1" applyAlignment="1">
      <alignment horizontal="right" vertical="center" wrapText="1" indent="1"/>
    </xf>
    <xf numFmtId="4" fontId="10" fillId="35" borderId="13" xfId="90" applyNumberFormat="1" applyFont="1" applyFill="1" applyBorder="1" applyAlignment="1">
      <alignment horizontal="right" vertical="center" wrapText="1" indent="1"/>
    </xf>
    <xf numFmtId="4" fontId="4" fillId="24" borderId="17" xfId="90" applyNumberFormat="1" applyFont="1" applyFill="1" applyBorder="1" applyAlignment="1">
      <alignment horizontal="right" vertical="center" wrapText="1" indent="1"/>
    </xf>
    <xf numFmtId="4" fontId="9" fillId="24" borderId="18" xfId="90" applyNumberFormat="1" applyFont="1" applyFill="1" applyBorder="1" applyAlignment="1">
      <alignment horizontal="right" vertical="center" wrapText="1" indent="1"/>
    </xf>
    <xf numFmtId="0" fontId="0" fillId="0" borderId="0" xfId="0"/>
    <xf numFmtId="4" fontId="32" fillId="0" borderId="0" xfId="0" applyNumberFormat="1" applyFont="1" applyBorder="1" applyAlignment="1">
      <alignment horizontal="left" vertical="center"/>
    </xf>
    <xf numFmtId="167" fontId="4" fillId="35" borderId="14" xfId="0" applyNumberFormat="1" applyFont="1" applyFill="1" applyBorder="1" applyAlignment="1">
      <alignment horizontal="right" vertical="center" wrapText="1" indent="1"/>
    </xf>
    <xf numFmtId="167" fontId="4" fillId="24" borderId="14" xfId="0" applyNumberFormat="1" applyFont="1" applyFill="1" applyBorder="1" applyAlignment="1">
      <alignment horizontal="right" vertical="center" wrapText="1" indent="1"/>
    </xf>
    <xf numFmtId="167" fontId="10" fillId="35" borderId="14" xfId="0" applyNumberFormat="1" applyFont="1" applyFill="1" applyBorder="1" applyAlignment="1">
      <alignment horizontal="right" vertical="center" wrapText="1" indent="1"/>
    </xf>
    <xf numFmtId="167" fontId="4" fillId="35" borderId="13" xfId="0" applyNumberFormat="1" applyFont="1" applyFill="1" applyBorder="1" applyAlignment="1">
      <alignment horizontal="right" vertical="center" wrapText="1" indent="1"/>
    </xf>
    <xf numFmtId="167" fontId="4" fillId="24" borderId="18" xfId="0" applyNumberFormat="1" applyFont="1" applyFill="1" applyBorder="1" applyAlignment="1">
      <alignment horizontal="right" vertical="center" wrapText="1" indent="1"/>
    </xf>
    <xf numFmtId="0" fontId="132" fillId="37" borderId="13" xfId="0" applyFont="1" applyFill="1" applyBorder="1" applyAlignment="1">
      <alignment horizontal="center"/>
    </xf>
    <xf numFmtId="4" fontId="32" fillId="37" borderId="13" xfId="0" applyNumberFormat="1" applyFont="1" applyFill="1" applyBorder="1"/>
    <xf numFmtId="4" fontId="133" fillId="0" borderId="13" xfId="0" applyNumberFormat="1" applyFont="1" applyBorder="1"/>
    <xf numFmtId="4" fontId="134" fillId="37" borderId="13" xfId="0" applyNumberFormat="1" applyFont="1" applyFill="1" applyBorder="1"/>
    <xf numFmtId="4" fontId="9" fillId="24" borderId="13" xfId="40" applyNumberFormat="1" applyFont="1" applyFill="1" applyBorder="1" applyAlignment="1">
      <alignment horizontal="right" vertical="center" wrapText="1" indent="1"/>
    </xf>
    <xf numFmtId="4" fontId="5" fillId="24" borderId="13" xfId="40" applyNumberFormat="1" applyFont="1" applyFill="1" applyBorder="1" applyAlignment="1">
      <alignment horizontal="right" vertical="center" wrapText="1" indent="1"/>
    </xf>
    <xf numFmtId="4" fontId="5" fillId="35" borderId="13" xfId="40" applyNumberFormat="1" applyFont="1" applyFill="1" applyBorder="1" applyAlignment="1">
      <alignment horizontal="right" vertical="center" wrapText="1" indent="1"/>
    </xf>
    <xf numFmtId="4" fontId="9" fillId="24" borderId="17" xfId="40" applyNumberFormat="1" applyFont="1" applyFill="1" applyBorder="1" applyAlignment="1">
      <alignment horizontal="right" vertical="center" wrapText="1" indent="1"/>
    </xf>
    <xf numFmtId="4" fontId="9" fillId="24" borderId="20" xfId="0" applyNumberFormat="1" applyFont="1" applyFill="1" applyBorder="1" applyAlignment="1">
      <alignment horizontal="right" vertical="center" wrapText="1" indent="1"/>
    </xf>
    <xf numFmtId="4" fontId="9" fillId="24" borderId="62" xfId="0" applyNumberFormat="1" applyFont="1" applyFill="1" applyBorder="1" applyAlignment="1">
      <alignment horizontal="right" vertical="center" wrapText="1" indent="1"/>
    </xf>
    <xf numFmtId="4" fontId="5" fillId="0" borderId="23" xfId="0" applyNumberFormat="1" applyFont="1" applyBorder="1" applyAlignment="1">
      <alignment vertical="center" wrapText="1"/>
    </xf>
    <xf numFmtId="4" fontId="5" fillId="0" borderId="25" xfId="0" applyNumberFormat="1" applyFont="1" applyBorder="1" applyAlignment="1">
      <alignment vertical="center" wrapText="1"/>
    </xf>
    <xf numFmtId="4" fontId="5" fillId="0" borderId="24" xfId="0" applyNumberFormat="1" applyFont="1" applyBorder="1" applyAlignment="1">
      <alignment vertical="center" wrapText="1"/>
    </xf>
    <xf numFmtId="4" fontId="5" fillId="35" borderId="13" xfId="27" applyNumberFormat="1" applyFont="1" applyFill="1" applyBorder="1" applyAlignment="1">
      <alignment horizontal="right" vertical="center" wrapText="1" indent="1"/>
    </xf>
    <xf numFmtId="4" fontId="5" fillId="0" borderId="15" xfId="0" applyNumberFormat="1" applyFont="1" applyBorder="1" applyAlignment="1">
      <alignment vertical="center" wrapText="1"/>
    </xf>
    <xf numFmtId="4" fontId="5" fillId="0" borderId="13" xfId="0" applyNumberFormat="1" applyFont="1" applyBorder="1" applyAlignment="1">
      <alignment vertical="center" wrapText="1"/>
    </xf>
    <xf numFmtId="4" fontId="5" fillId="0" borderId="14" xfId="0" applyNumberFormat="1" applyFont="1" applyBorder="1" applyAlignment="1">
      <alignment vertical="center" wrapText="1"/>
    </xf>
    <xf numFmtId="4" fontId="5" fillId="37" borderId="13" xfId="27" applyNumberFormat="1" applyFont="1" applyFill="1" applyBorder="1" applyAlignment="1">
      <alignment horizontal="right" vertical="center" wrapText="1" indent="1"/>
    </xf>
    <xf numFmtId="4" fontId="9" fillId="37" borderId="13" xfId="0" applyNumberFormat="1" applyFont="1" applyFill="1" applyBorder="1" applyAlignment="1">
      <alignment horizontal="right" vertical="center" wrapText="1" indent="1"/>
    </xf>
    <xf numFmtId="4" fontId="9" fillId="37" borderId="20" xfId="0" applyNumberFormat="1" applyFont="1" applyFill="1" applyBorder="1" applyAlignment="1">
      <alignment horizontal="right" vertical="center" wrapText="1" indent="1"/>
    </xf>
    <xf numFmtId="4" fontId="5" fillId="0" borderId="62"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5" fillId="0" borderId="38" xfId="0" applyNumberFormat="1" applyFont="1" applyBorder="1" applyAlignment="1">
      <alignment horizontal="center" vertical="center" wrapText="1"/>
    </xf>
    <xf numFmtId="4" fontId="5" fillId="0" borderId="62" xfId="0" applyNumberFormat="1" applyFont="1" applyBorder="1" applyAlignment="1">
      <alignment vertical="center" wrapText="1"/>
    </xf>
    <xf numFmtId="4" fontId="5" fillId="0" borderId="38" xfId="0" applyNumberFormat="1" applyFont="1" applyBorder="1" applyAlignment="1">
      <alignment vertical="center" wrapText="1"/>
    </xf>
    <xf numFmtId="4" fontId="9" fillId="24" borderId="28" xfId="0" applyNumberFormat="1" applyFont="1" applyFill="1" applyBorder="1" applyAlignment="1">
      <alignment horizontal="right" vertical="center" wrapText="1" indent="1"/>
    </xf>
    <xf numFmtId="4" fontId="9" fillId="24" borderId="77" xfId="0" applyNumberFormat="1" applyFont="1" applyFill="1" applyBorder="1" applyAlignment="1">
      <alignment horizontal="right" vertical="center" wrapText="1" indent="1"/>
    </xf>
    <xf numFmtId="4" fontId="5" fillId="0" borderId="16" xfId="0" applyNumberFormat="1" applyFont="1" applyBorder="1" applyAlignment="1">
      <alignment vertical="center" wrapText="1"/>
    </xf>
    <xf numFmtId="4" fontId="5" fillId="0" borderId="17" xfId="0" applyNumberFormat="1" applyFont="1" applyBorder="1" applyAlignment="1">
      <alignment vertical="center" wrapText="1"/>
    </xf>
    <xf numFmtId="4" fontId="5" fillId="0" borderId="18" xfId="0" applyNumberFormat="1" applyFont="1" applyBorder="1" applyAlignment="1">
      <alignment vertical="center" wrapText="1"/>
    </xf>
    <xf numFmtId="4" fontId="107" fillId="48" borderId="43" xfId="0" applyNumberFormat="1" applyFont="1" applyFill="1" applyBorder="1" applyAlignment="1">
      <alignment horizontal="right" vertical="center" wrapText="1" indent="1"/>
    </xf>
    <xf numFmtId="4" fontId="88" fillId="0" borderId="23" xfId="0" applyNumberFormat="1" applyFont="1" applyBorder="1" applyAlignment="1">
      <alignment vertical="center" wrapText="1"/>
    </xf>
    <xf numFmtId="4" fontId="88" fillId="0" borderId="25" xfId="0" applyNumberFormat="1" applyFont="1" applyBorder="1" applyAlignment="1">
      <alignment vertical="center" wrapText="1"/>
    </xf>
    <xf numFmtId="4" fontId="88" fillId="0" borderId="24" xfId="0" applyNumberFormat="1" applyFont="1" applyBorder="1" applyAlignment="1">
      <alignment vertical="center" wrapText="1"/>
    </xf>
    <xf numFmtId="4" fontId="88" fillId="0" borderId="15" xfId="0" applyNumberFormat="1" applyFont="1" applyBorder="1" applyAlignment="1">
      <alignment vertical="center" wrapText="1"/>
    </xf>
    <xf numFmtId="4" fontId="88" fillId="0" borderId="13" xfId="0" applyNumberFormat="1" applyFont="1" applyBorder="1" applyAlignment="1">
      <alignment vertical="center" wrapText="1"/>
    </xf>
    <xf numFmtId="4" fontId="88" fillId="0" borderId="14" xfId="0" applyNumberFormat="1" applyFont="1" applyBorder="1" applyAlignment="1">
      <alignment vertical="center" wrapText="1"/>
    </xf>
    <xf numFmtId="4" fontId="88" fillId="0" borderId="62" xfId="0" applyNumberFormat="1" applyFont="1" applyBorder="1" applyAlignment="1">
      <alignment horizontal="center" vertical="center" wrapText="1"/>
    </xf>
    <xf numFmtId="4" fontId="88" fillId="0" borderId="13" xfId="0" applyNumberFormat="1" applyFont="1" applyBorder="1" applyAlignment="1">
      <alignment horizontal="center" vertical="center" wrapText="1"/>
    </xf>
    <xf numFmtId="4" fontId="88" fillId="0" borderId="38" xfId="0" applyNumberFormat="1" applyFont="1" applyBorder="1" applyAlignment="1">
      <alignment horizontal="center" vertical="center" wrapText="1"/>
    </xf>
    <xf numFmtId="4" fontId="88" fillId="0" borderId="62" xfId="0" applyNumberFormat="1" applyFont="1" applyBorder="1" applyAlignment="1">
      <alignment vertical="center" wrapText="1"/>
    </xf>
    <xf numFmtId="4" fontId="88" fillId="0" borderId="38" xfId="0" applyNumberFormat="1" applyFont="1" applyBorder="1" applyAlignment="1">
      <alignment vertical="center" wrapText="1"/>
    </xf>
    <xf numFmtId="4" fontId="107" fillId="48" borderId="56" xfId="0" applyNumberFormat="1" applyFont="1" applyFill="1" applyBorder="1" applyAlignment="1">
      <alignment horizontal="right" vertical="center" wrapText="1" indent="1"/>
    </xf>
    <xf numFmtId="4" fontId="88" fillId="0" borderId="16" xfId="0" applyNumberFormat="1" applyFont="1" applyBorder="1" applyAlignment="1">
      <alignment vertical="center" wrapText="1"/>
    </xf>
    <xf numFmtId="4" fontId="88" fillId="0" borderId="17" xfId="0" applyNumberFormat="1" applyFont="1" applyBorder="1" applyAlignment="1">
      <alignment vertical="center" wrapText="1"/>
    </xf>
    <xf numFmtId="4" fontId="88" fillId="0" borderId="18" xfId="0" applyNumberFormat="1" applyFont="1" applyBorder="1" applyAlignment="1">
      <alignment vertical="center" wrapText="1"/>
    </xf>
    <xf numFmtId="49" fontId="5" fillId="0" borderId="0" xfId="0" applyNumberFormat="1" applyFont="1" applyAlignment="1">
      <alignment horizontal="right" vertical="center" wrapText="1"/>
    </xf>
    <xf numFmtId="3" fontId="3" fillId="0" borderId="0" xfId="0" applyNumberFormat="1" applyFont="1"/>
    <xf numFmtId="4" fontId="5" fillId="0" borderId="0" xfId="0" applyNumberFormat="1" applyFont="1" applyBorder="1"/>
    <xf numFmtId="4" fontId="32" fillId="0" borderId="0" xfId="0" applyNumberFormat="1" applyFont="1" applyBorder="1" applyAlignment="1">
      <alignment horizontal="left"/>
    </xf>
    <xf numFmtId="4" fontId="85" fillId="0" borderId="0" xfId="0" applyNumberFormat="1" applyFont="1" applyAlignment="1">
      <alignment vertical="center" wrapText="1"/>
    </xf>
    <xf numFmtId="0" fontId="5" fillId="0" borderId="20" xfId="0" applyFont="1" applyBorder="1" applyAlignment="1">
      <alignment vertical="center" wrapText="1"/>
    </xf>
    <xf numFmtId="4" fontId="5" fillId="0" borderId="52" xfId="0" applyNumberFormat="1" applyFont="1" applyBorder="1" applyAlignment="1">
      <alignment vertical="center" wrapText="1"/>
    </xf>
    <xf numFmtId="3" fontId="5" fillId="0" borderId="27" xfId="0" applyNumberFormat="1" applyFont="1" applyBorder="1" applyAlignment="1">
      <alignment vertical="center" wrapText="1"/>
    </xf>
    <xf numFmtId="4" fontId="88" fillId="0" borderId="0" xfId="0" applyNumberFormat="1" applyFont="1" applyAlignment="1">
      <alignment vertical="center" wrapText="1"/>
    </xf>
    <xf numFmtId="4" fontId="5" fillId="37" borderId="13" xfId="27" applyNumberFormat="1" applyFont="1" applyFill="1" applyBorder="1" applyAlignment="1">
      <alignment horizontal="right" vertical="center" wrapText="1" indent="1"/>
    </xf>
    <xf numFmtId="3" fontId="5" fillId="35" borderId="13" xfId="27" applyNumberFormat="1" applyFont="1" applyFill="1" applyBorder="1" applyAlignment="1">
      <alignment horizontal="right" vertical="center" wrapText="1" indent="1"/>
    </xf>
    <xf numFmtId="3" fontId="85" fillId="0" borderId="0" xfId="40" applyNumberFormat="1" applyFont="1"/>
    <xf numFmtId="0" fontId="5" fillId="37" borderId="0" xfId="0" applyFont="1" applyFill="1" applyAlignment="1">
      <alignment vertical="center" wrapText="1"/>
    </xf>
    <xf numFmtId="4" fontId="0" fillId="42" borderId="0" xfId="0" applyNumberFormat="1" applyFill="1"/>
    <xf numFmtId="4" fontId="86" fillId="0" borderId="0" xfId="106" applyNumberFormat="1" applyFont="1"/>
    <xf numFmtId="0" fontId="139" fillId="0" borderId="0" xfId="106"/>
    <xf numFmtId="4" fontId="139" fillId="0" borderId="0" xfId="106" applyNumberFormat="1"/>
    <xf numFmtId="4" fontId="139" fillId="42" borderId="0" xfId="106" applyNumberFormat="1" applyFill="1"/>
    <xf numFmtId="4" fontId="140" fillId="0" borderId="0" xfId="106" applyNumberFormat="1" applyFont="1"/>
    <xf numFmtId="167" fontId="32" fillId="0" borderId="0" xfId="0" applyNumberFormat="1" applyFont="1" applyBorder="1" applyAlignment="1">
      <alignment horizontal="left" vertical="center"/>
    </xf>
    <xf numFmtId="4" fontId="4" fillId="24" borderId="45" xfId="0" applyNumberFormat="1" applyFont="1" applyFill="1" applyBorder="1" applyAlignment="1">
      <alignment horizontal="right" vertical="center" wrapText="1" indent="1"/>
    </xf>
    <xf numFmtId="4" fontId="4" fillId="24" borderId="65" xfId="0" applyNumberFormat="1" applyFont="1" applyFill="1" applyBorder="1" applyAlignment="1">
      <alignment horizontal="right" vertical="center" wrapText="1" indent="1"/>
    </xf>
    <xf numFmtId="4" fontId="4" fillId="24" borderId="43" xfId="0" applyNumberFormat="1" applyFont="1" applyFill="1" applyBorder="1" applyAlignment="1">
      <alignment horizontal="right" vertical="center" wrapText="1" indent="1"/>
    </xf>
    <xf numFmtId="4" fontId="4" fillId="24" borderId="44" xfId="0" applyNumberFormat="1" applyFont="1" applyFill="1" applyBorder="1" applyAlignment="1">
      <alignment horizontal="right" vertical="center" wrapText="1" indent="1"/>
    </xf>
    <xf numFmtId="4" fontId="4" fillId="24" borderId="64" xfId="0" applyNumberFormat="1" applyFont="1" applyFill="1" applyBorder="1" applyAlignment="1">
      <alignment horizontal="right" vertical="center" wrapText="1" indent="1"/>
    </xf>
    <xf numFmtId="0" fontId="142" fillId="0" borderId="0" xfId="0" applyFont="1" applyAlignment="1">
      <alignment horizontal="right" vertical="center"/>
    </xf>
    <xf numFmtId="0" fontId="142" fillId="0" borderId="0" xfId="0" applyFont="1" applyAlignment="1">
      <alignment horizontal="right" vertical="center" wrapText="1"/>
    </xf>
    <xf numFmtId="4" fontId="142" fillId="0" borderId="0" xfId="0" applyNumberFormat="1" applyFont="1" applyAlignment="1">
      <alignment horizontal="right" vertical="center"/>
    </xf>
    <xf numFmtId="0" fontId="144" fillId="0" borderId="0" xfId="0" applyFont="1" applyAlignment="1">
      <alignment horizontal="right" vertical="center" wrapText="1"/>
    </xf>
    <xf numFmtId="4" fontId="143" fillId="0" borderId="0" xfId="109" applyNumberFormat="1" applyFont="1" applyBorder="1" applyAlignment="1" applyProtection="1">
      <alignment horizontal="right" vertical="center"/>
      <protection locked="0"/>
    </xf>
    <xf numFmtId="0" fontId="142" fillId="0" borderId="12" xfId="0" applyFont="1" applyBorder="1" applyAlignment="1">
      <alignment horizontal="right" vertical="center"/>
    </xf>
    <xf numFmtId="4" fontId="145" fillId="0" borderId="12" xfId="109" applyNumberFormat="1" applyFont="1" applyBorder="1" applyAlignment="1" applyProtection="1">
      <alignment horizontal="left" vertical="center"/>
      <protection locked="0"/>
    </xf>
    <xf numFmtId="4" fontId="143" fillId="0" borderId="0" xfId="109" applyNumberFormat="1" applyFont="1" applyBorder="1" applyAlignment="1" applyProtection="1">
      <alignment horizontal="left" vertical="center"/>
      <protection locked="0"/>
    </xf>
    <xf numFmtId="0" fontId="142" fillId="0" borderId="0" xfId="0" applyFont="1" applyAlignment="1">
      <alignment horizontal="left" vertical="center"/>
    </xf>
    <xf numFmtId="0" fontId="0" fillId="0" borderId="0" xfId="0"/>
    <xf numFmtId="49" fontId="85" fillId="37" borderId="0" xfId="0" applyNumberFormat="1" applyFont="1" applyFill="1" applyBorder="1" applyAlignment="1">
      <alignment horizontal="left" indent="1"/>
    </xf>
    <xf numFmtId="0" fontId="85" fillId="37" borderId="0" xfId="0" applyFont="1" applyFill="1" applyBorder="1"/>
    <xf numFmtId="0" fontId="138" fillId="37" borderId="0" xfId="0" applyFont="1" applyFill="1" applyBorder="1"/>
    <xf numFmtId="0" fontId="5" fillId="0" borderId="0" xfId="90" applyFont="1" applyFill="1" applyBorder="1"/>
    <xf numFmtId="4" fontId="0" fillId="0" borderId="0" xfId="0" applyNumberFormat="1" applyAlignment="1">
      <alignment vertical="center"/>
    </xf>
    <xf numFmtId="4" fontId="83" fillId="0" borderId="0" xfId="0" applyNumberFormat="1" applyFont="1" applyBorder="1" applyAlignment="1">
      <alignment horizontal="left"/>
    </xf>
    <xf numFmtId="0" fontId="83" fillId="0" borderId="0" xfId="0" applyFont="1" applyBorder="1" applyAlignment="1">
      <alignment horizontal="left"/>
    </xf>
    <xf numFmtId="166" fontId="5" fillId="0" borderId="0" xfId="0" applyNumberFormat="1" applyFont="1" applyFill="1" applyBorder="1"/>
    <xf numFmtId="0" fontId="0" fillId="0" borderId="0" xfId="0"/>
    <xf numFmtId="0" fontId="27" fillId="0" borderId="22" xfId="93" applyFont="1" applyBorder="1" applyAlignment="1">
      <alignment horizontal="left" indent="1"/>
    </xf>
    <xf numFmtId="0" fontId="27" fillId="0" borderId="29" xfId="93" applyFont="1" applyBorder="1"/>
    <xf numFmtId="49" fontId="27" fillId="0" borderId="37" xfId="93" applyNumberFormat="1" applyFont="1" applyBorder="1" applyAlignment="1">
      <alignment horizontal="center"/>
    </xf>
    <xf numFmtId="0" fontId="27" fillId="0" borderId="15" xfId="93" applyFont="1" applyBorder="1" applyAlignment="1">
      <alignment horizontal="left" indent="1"/>
    </xf>
    <xf numFmtId="0" fontId="27" fillId="0" borderId="13" xfId="93" applyFont="1" applyBorder="1"/>
    <xf numFmtId="49" fontId="27" fillId="0" borderId="20" xfId="93" applyNumberFormat="1" applyFont="1" applyBorder="1" applyAlignment="1">
      <alignment horizontal="center"/>
    </xf>
    <xf numFmtId="0" fontId="27" fillId="0" borderId="13" xfId="93" applyFont="1" applyBorder="1" applyAlignment="1">
      <alignment vertical="center"/>
    </xf>
    <xf numFmtId="0" fontId="108" fillId="0" borderId="13" xfId="93" applyFont="1" applyBorder="1"/>
    <xf numFmtId="0" fontId="27" fillId="0" borderId="15" xfId="93" applyFont="1" applyFill="1" applyBorder="1" applyAlignment="1">
      <alignment horizontal="left" indent="1"/>
    </xf>
    <xf numFmtId="49" fontId="60" fillId="32" borderId="20" xfId="93" applyNumberFormat="1" applyFont="1" applyFill="1" applyBorder="1" applyAlignment="1">
      <alignment horizontal="center"/>
    </xf>
    <xf numFmtId="49" fontId="60" fillId="0" borderId="20" xfId="93" applyNumberFormat="1" applyFont="1" applyBorder="1" applyAlignment="1">
      <alignment horizontal="center"/>
    </xf>
    <xf numFmtId="49" fontId="60" fillId="32" borderId="28" xfId="93" applyNumberFormat="1" applyFont="1" applyFill="1" applyBorder="1" applyAlignment="1">
      <alignment horizontal="center"/>
    </xf>
    <xf numFmtId="0" fontId="10" fillId="0" borderId="0" xfId="110" applyFont="1" applyAlignment="1">
      <alignment vertical="center" wrapText="1"/>
    </xf>
    <xf numFmtId="3" fontId="9" fillId="0" borderId="30" xfId="110" applyNumberFormat="1" applyFont="1" applyFill="1" applyBorder="1" applyAlignment="1">
      <alignment horizontal="center" vertical="center" wrapText="1"/>
    </xf>
    <xf numFmtId="0" fontId="9" fillId="37" borderId="31" xfId="110" applyFont="1" applyFill="1" applyBorder="1" applyAlignment="1">
      <alignment horizontal="center" vertical="center" wrapText="1"/>
    </xf>
    <xf numFmtId="0" fontId="9" fillId="37" borderId="53" xfId="110" applyFont="1" applyFill="1" applyBorder="1" applyAlignment="1">
      <alignment horizontal="center" vertical="center" wrapText="1"/>
    </xf>
    <xf numFmtId="0" fontId="9" fillId="37" borderId="64" xfId="110" applyFont="1" applyFill="1" applyBorder="1" applyAlignment="1">
      <alignment horizontal="center" vertical="center" wrapText="1"/>
    </xf>
    <xf numFmtId="0" fontId="9" fillId="0" borderId="0" xfId="110" applyFont="1" applyAlignment="1">
      <alignment horizontal="center" vertical="center" wrapText="1"/>
    </xf>
    <xf numFmtId="3" fontId="9" fillId="0" borderId="22" xfId="110" applyNumberFormat="1" applyFont="1" applyFill="1" applyBorder="1" applyAlignment="1">
      <alignment horizontal="center" vertical="center" wrapText="1"/>
    </xf>
    <xf numFmtId="3" fontId="9" fillId="0" borderId="29" xfId="110" applyNumberFormat="1" applyFont="1" applyFill="1" applyBorder="1" applyAlignment="1">
      <alignment horizontal="center" vertical="center" wrapText="1"/>
    </xf>
    <xf numFmtId="0" fontId="9" fillId="37" borderId="29" xfId="110" applyFont="1" applyFill="1" applyBorder="1" applyAlignment="1">
      <alignment horizontal="center" vertical="center" wrapText="1"/>
    </xf>
    <xf numFmtId="0" fontId="9" fillId="37" borderId="34" xfId="110" applyFont="1" applyFill="1" applyBorder="1" applyAlignment="1">
      <alignment horizontal="center" vertical="center" wrapText="1"/>
    </xf>
    <xf numFmtId="4" fontId="10" fillId="35" borderId="37" xfId="110" applyNumberFormat="1" applyFont="1" applyFill="1" applyBorder="1" applyAlignment="1">
      <alignment horizontal="right" vertical="center" wrapText="1" indent="1"/>
    </xf>
    <xf numFmtId="4" fontId="10" fillId="35" borderId="20" xfId="110" applyNumberFormat="1" applyFont="1" applyFill="1" applyBorder="1" applyAlignment="1">
      <alignment horizontal="right" vertical="center" wrapText="1" indent="1"/>
    </xf>
    <xf numFmtId="4" fontId="10" fillId="35" borderId="35" xfId="110" applyNumberFormat="1" applyFont="1" applyFill="1" applyBorder="1" applyAlignment="1">
      <alignment horizontal="right" vertical="center" wrapText="1" indent="1"/>
    </xf>
    <xf numFmtId="4" fontId="83" fillId="35" borderId="20" xfId="110" applyNumberFormat="1" applyFont="1" applyFill="1" applyBorder="1" applyAlignment="1">
      <alignment horizontal="right" vertical="center" wrapText="1" indent="1"/>
    </xf>
    <xf numFmtId="0" fontId="3" fillId="42" borderId="0" xfId="0" applyFont="1" applyFill="1"/>
    <xf numFmtId="0" fontId="0" fillId="42" borderId="0" xfId="0" applyFill="1"/>
    <xf numFmtId="4" fontId="10" fillId="0" borderId="0" xfId="110" applyNumberFormat="1" applyFont="1" applyAlignment="1">
      <alignment vertical="center" wrapText="1"/>
    </xf>
    <xf numFmtId="0" fontId="3" fillId="0" borderId="0" xfId="0" applyFont="1"/>
    <xf numFmtId="4" fontId="10" fillId="53" borderId="20" xfId="110" applyNumberFormat="1" applyFont="1" applyFill="1" applyBorder="1" applyAlignment="1">
      <alignment horizontal="right" vertical="center" wrapText="1" indent="1"/>
    </xf>
    <xf numFmtId="4" fontId="3" fillId="0" borderId="0" xfId="0" applyNumberFormat="1" applyFont="1"/>
    <xf numFmtId="0" fontId="71" fillId="37" borderId="0" xfId="0" applyFont="1" applyFill="1"/>
    <xf numFmtId="0" fontId="3" fillId="37" borderId="0" xfId="0" applyFont="1" applyFill="1"/>
    <xf numFmtId="0" fontId="0" fillId="37" borderId="0" xfId="0" applyFill="1"/>
    <xf numFmtId="4" fontId="10" fillId="53" borderId="20" xfId="44" applyNumberFormat="1" applyFont="1" applyFill="1" applyBorder="1" applyAlignment="1">
      <alignment horizontal="right" vertical="center" wrapText="1" indent="1"/>
    </xf>
    <xf numFmtId="4" fontId="3" fillId="53" borderId="0" xfId="0" applyNumberFormat="1" applyFont="1" applyFill="1"/>
    <xf numFmtId="0" fontId="71" fillId="0" borderId="0" xfId="0" applyFont="1"/>
    <xf numFmtId="4" fontId="113" fillId="0" borderId="0" xfId="0" applyNumberFormat="1" applyFont="1" applyFill="1"/>
    <xf numFmtId="0" fontId="149" fillId="37" borderId="0" xfId="0" applyFont="1" applyFill="1" applyBorder="1" applyAlignment="1">
      <alignment horizontal="left"/>
    </xf>
    <xf numFmtId="4" fontId="0" fillId="0" borderId="0" xfId="0" applyNumberFormat="1" applyBorder="1"/>
    <xf numFmtId="0" fontId="71" fillId="0" borderId="0" xfId="0" applyFont="1" applyFill="1" applyBorder="1" applyAlignment="1">
      <alignment horizontal="right"/>
    </xf>
    <xf numFmtId="0" fontId="3" fillId="0" borderId="0" xfId="0" applyFont="1" applyFill="1" applyBorder="1"/>
    <xf numFmtId="0" fontId="0" fillId="0" borderId="0" xfId="0" applyFill="1" applyBorder="1"/>
    <xf numFmtId="4" fontId="0" fillId="0" borderId="0" xfId="0" applyNumberFormat="1" applyFill="1" applyBorder="1"/>
    <xf numFmtId="4" fontId="71" fillId="0" borderId="0" xfId="0" applyNumberFormat="1" applyFont="1" applyFill="1" applyBorder="1"/>
    <xf numFmtId="0" fontId="71" fillId="0" borderId="0" xfId="0" applyFont="1" applyFill="1" applyBorder="1"/>
    <xf numFmtId="4" fontId="148" fillId="0" borderId="0" xfId="0" applyNumberFormat="1" applyFont="1" applyFill="1" applyBorder="1"/>
    <xf numFmtId="4" fontId="5" fillId="0" borderId="0" xfId="90" applyNumberFormat="1" applyFont="1" applyFill="1" applyBorder="1"/>
    <xf numFmtId="4" fontId="9" fillId="0" borderId="0" xfId="90" applyNumberFormat="1" applyFont="1" applyFill="1" applyBorder="1"/>
    <xf numFmtId="4" fontId="135" fillId="0" borderId="0" xfId="0" applyNumberFormat="1" applyFont="1" applyBorder="1"/>
    <xf numFmtId="4" fontId="135" fillId="0" borderId="0" xfId="0" applyNumberFormat="1" applyFont="1" applyBorder="1" applyAlignment="1">
      <alignment horizontal="center"/>
    </xf>
    <xf numFmtId="4" fontId="146" fillId="0" borderId="0" xfId="0" applyNumberFormat="1" applyFont="1" applyBorder="1" applyAlignment="1">
      <alignment horizontal="right"/>
    </xf>
    <xf numFmtId="4" fontId="136" fillId="0" borderId="0" xfId="0" applyNumberFormat="1" applyFont="1" applyBorder="1"/>
    <xf numFmtId="4" fontId="147" fillId="0" borderId="0" xfId="0" applyNumberFormat="1" applyFont="1" applyBorder="1"/>
    <xf numFmtId="0" fontId="0" fillId="0" borderId="0" xfId="0" applyBorder="1" applyAlignment="1">
      <alignment vertical="center"/>
    </xf>
    <xf numFmtId="4" fontId="0" fillId="0" borderId="0" xfId="0" applyNumberFormat="1" applyBorder="1" applyAlignment="1">
      <alignment vertical="center"/>
    </xf>
    <xf numFmtId="0" fontId="5" fillId="0" borderId="0" xfId="0" applyFont="1" applyFill="1" applyBorder="1" applyAlignment="1">
      <alignment vertical="center" wrapText="1"/>
    </xf>
    <xf numFmtId="0" fontId="142" fillId="0" borderId="0" xfId="0" applyFont="1" applyBorder="1" applyAlignment="1">
      <alignment horizontal="right" vertical="center"/>
    </xf>
    <xf numFmtId="0" fontId="9" fillId="37" borderId="24" xfId="44" applyFont="1" applyFill="1" applyBorder="1" applyAlignment="1">
      <alignment horizontal="center" vertical="center" wrapText="1"/>
    </xf>
    <xf numFmtId="0" fontId="10" fillId="0" borderId="52" xfId="0" applyFont="1" applyBorder="1" applyAlignment="1">
      <alignment wrapText="1"/>
    </xf>
    <xf numFmtId="0" fontId="10" fillId="0" borderId="27" xfId="0" applyFont="1" applyBorder="1" applyAlignment="1">
      <alignment wrapText="1"/>
    </xf>
    <xf numFmtId="0" fontId="10" fillId="0" borderId="0" xfId="0" applyFont="1" applyBorder="1" applyAlignment="1">
      <alignment horizontal="left" wrapText="1"/>
    </xf>
    <xf numFmtId="0" fontId="10" fillId="0" borderId="49" xfId="0" applyFont="1" applyBorder="1" applyAlignment="1">
      <alignment horizontal="left" wrapText="1"/>
    </xf>
    <xf numFmtId="0" fontId="10" fillId="0" borderId="52" xfId="0" applyFont="1" applyBorder="1" applyAlignment="1">
      <alignment horizontal="left" wrapText="1"/>
    </xf>
    <xf numFmtId="0" fontId="10" fillId="0" borderId="27" xfId="0" applyFont="1" applyBorder="1" applyAlignment="1">
      <alignment horizontal="left" wrapText="1"/>
    </xf>
    <xf numFmtId="0" fontId="10" fillId="0" borderId="23" xfId="35" applyFont="1" applyBorder="1" applyAlignment="1" applyProtection="1">
      <alignment horizontal="left" vertical="center" indent="1"/>
    </xf>
    <xf numFmtId="0" fontId="10" fillId="0" borderId="60" xfId="35" applyFont="1" applyBorder="1" applyAlignment="1" applyProtection="1">
      <alignment horizontal="left" vertical="center" indent="1"/>
    </xf>
    <xf numFmtId="0" fontId="14" fillId="46" borderId="66" xfId="0" applyFont="1" applyFill="1" applyBorder="1" applyAlignment="1">
      <alignment horizontal="center" vertical="center" wrapText="1"/>
    </xf>
    <xf numFmtId="0" fontId="75" fillId="46" borderId="67" xfId="0" applyFont="1" applyFill="1" applyBorder="1" applyAlignment="1">
      <alignment horizontal="center" vertical="center" wrapText="1"/>
    </xf>
    <xf numFmtId="0" fontId="75" fillId="46" borderId="68"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3"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6" fillId="0" borderId="30" xfId="0" applyFont="1" applyBorder="1" applyAlignment="1">
      <alignment horizontal="center" vertical="center" wrapText="1"/>
    </xf>
    <xf numFmtId="0" fontId="71" fillId="0" borderId="31" xfId="0" applyFont="1" applyBorder="1"/>
    <xf numFmtId="0" fontId="71" fillId="0" borderId="36" xfId="0" applyFont="1" applyBorder="1"/>
    <xf numFmtId="0" fontId="9" fillId="0" borderId="75" xfId="0" applyFont="1" applyBorder="1" applyAlignment="1">
      <alignment horizontal="left" vertical="center" wrapText="1" indent="1"/>
    </xf>
    <xf numFmtId="0" fontId="9" fillId="0" borderId="50" xfId="0" applyFont="1" applyBorder="1" applyAlignment="1">
      <alignment horizontal="left" vertical="center" wrapText="1" indent="1"/>
    </xf>
    <xf numFmtId="0" fontId="9" fillId="0" borderId="54" xfId="0" applyFont="1" applyBorder="1" applyAlignment="1">
      <alignment horizontal="left" vertical="center" wrapText="1" inden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0" xfId="0" applyFont="1" applyAlignment="1">
      <alignment horizontal="center" vertical="center" wrapText="1"/>
    </xf>
    <xf numFmtId="0" fontId="14" fillId="0" borderId="30" xfId="90" applyFont="1" applyBorder="1" applyAlignment="1">
      <alignment horizontal="center" vertical="center" wrapText="1"/>
    </xf>
    <xf numFmtId="0" fontId="14" fillId="0" borderId="31" xfId="90" applyFont="1" applyBorder="1" applyAlignment="1">
      <alignment horizontal="center" vertical="center" wrapText="1"/>
    </xf>
    <xf numFmtId="0" fontId="14" fillId="0" borderId="36" xfId="90" applyFont="1" applyBorder="1" applyAlignment="1">
      <alignment horizontal="center" vertical="center" wrapText="1"/>
    </xf>
    <xf numFmtId="0" fontId="9" fillId="0" borderId="22" xfId="90" applyFont="1" applyBorder="1" applyAlignment="1">
      <alignment horizontal="left" vertical="center" wrapText="1" indent="1"/>
    </xf>
    <xf numFmtId="0" fontId="9" fillId="0" borderId="29" xfId="90" applyFont="1" applyBorder="1" applyAlignment="1">
      <alignment horizontal="left" vertical="center" wrapText="1" indent="1"/>
    </xf>
    <xf numFmtId="0" fontId="9" fillId="0" borderId="34" xfId="90" applyFont="1" applyBorder="1" applyAlignment="1">
      <alignment horizontal="left" vertical="center" wrapText="1" indent="1"/>
    </xf>
    <xf numFmtId="0" fontId="3" fillId="0" borderId="0" xfId="0" applyFont="1"/>
    <xf numFmtId="0" fontId="0" fillId="0" borderId="0" xfId="0"/>
    <xf numFmtId="0" fontId="71" fillId="0" borderId="0" xfId="0" applyFont="1" applyFill="1" applyBorder="1" applyAlignment="1">
      <alignment horizontal="right"/>
    </xf>
    <xf numFmtId="4" fontId="148" fillId="0" borderId="0" xfId="0" applyNumberFormat="1" applyFont="1" applyFill="1" applyBorder="1" applyAlignment="1">
      <alignment horizontal="center" wrapText="1"/>
    </xf>
    <xf numFmtId="49" fontId="5" fillId="0" borderId="35" xfId="0" applyNumberFormat="1" applyFont="1" applyBorder="1" applyAlignment="1">
      <alignment horizontal="left" wrapText="1"/>
    </xf>
    <xf numFmtId="49" fontId="5" fillId="0" borderId="46"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37" xfId="0" applyNumberFormat="1" applyFont="1" applyBorder="1" applyAlignment="1">
      <alignment horizontal="left" wrapText="1"/>
    </xf>
    <xf numFmtId="49" fontId="5" fillId="0" borderId="50" xfId="0" applyNumberFormat="1" applyFont="1" applyBorder="1" applyAlignment="1">
      <alignment horizontal="left" wrapText="1"/>
    </xf>
    <xf numFmtId="49" fontId="5" fillId="0" borderId="32" xfId="0" applyNumberFormat="1" applyFont="1" applyBorder="1" applyAlignment="1">
      <alignment horizontal="left"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4"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wrapText="1"/>
    </xf>
    <xf numFmtId="0" fontId="85" fillId="0" borderId="0" xfId="0" applyFont="1" applyFill="1" applyAlignment="1">
      <alignment horizontal="center" wrapTex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9" fillId="0" borderId="61" xfId="0" applyFont="1" applyBorder="1" applyAlignment="1">
      <alignment horizontal="left" vertical="center" wrapText="1" indent="1"/>
    </xf>
    <xf numFmtId="0" fontId="9" fillId="0" borderId="72" xfId="0" applyFont="1" applyBorder="1" applyAlignment="1">
      <alignment horizontal="left" vertical="center" wrapText="1" indent="1"/>
    </xf>
    <xf numFmtId="0" fontId="9" fillId="0" borderId="41" xfId="0" applyFont="1" applyBorder="1" applyAlignment="1">
      <alignment horizontal="left" vertical="center" wrapText="1" indent="1"/>
    </xf>
    <xf numFmtId="0" fontId="6" fillId="0" borderId="13" xfId="0" applyFont="1" applyBorder="1" applyAlignment="1">
      <alignment horizontal="center" vertical="center"/>
    </xf>
    <xf numFmtId="49" fontId="5" fillId="0" borderId="20" xfId="0" applyNumberFormat="1" applyFont="1" applyBorder="1" applyAlignment="1">
      <alignment horizontal="left"/>
    </xf>
    <xf numFmtId="49" fontId="5" fillId="0" borderId="52" xfId="0" applyNumberFormat="1" applyFont="1" applyBorder="1" applyAlignment="1">
      <alignment horizontal="left"/>
    </xf>
    <xf numFmtId="0" fontId="4" fillId="0" borderId="29" xfId="0" applyFont="1" applyBorder="1" applyAlignment="1">
      <alignment horizontal="center" vertical="center" wrapText="1"/>
    </xf>
    <xf numFmtId="0" fontId="4" fillId="36" borderId="29"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75" xfId="0" applyFont="1" applyBorder="1" applyAlignment="1">
      <alignment horizontal="center" vertical="center" wrapText="1"/>
    </xf>
    <xf numFmtId="0" fontId="123" fillId="0" borderId="0" xfId="0" applyFont="1" applyAlignment="1">
      <alignment horizontal="left" vertical="center" wrapText="1"/>
    </xf>
    <xf numFmtId="0" fontId="4" fillId="0" borderId="13" xfId="0" applyFont="1" applyBorder="1" applyAlignment="1">
      <alignment horizontal="center" vertical="center" wrapText="1"/>
    </xf>
    <xf numFmtId="49" fontId="10" fillId="0" borderId="20" xfId="0" applyNumberFormat="1" applyFont="1" applyBorder="1" applyAlignment="1">
      <alignment horizontal="left"/>
    </xf>
    <xf numFmtId="49" fontId="10" fillId="0" borderId="52" xfId="0" applyNumberFormat="1" applyFont="1" applyBorder="1" applyAlignment="1">
      <alignment horizontal="left"/>
    </xf>
    <xf numFmtId="49" fontId="10" fillId="0" borderId="27" xfId="0" applyNumberFormat="1" applyFont="1" applyBorder="1" applyAlignment="1">
      <alignment horizontal="left"/>
    </xf>
    <xf numFmtId="49" fontId="4" fillId="0" borderId="13" xfId="0" applyNumberFormat="1" applyFont="1" applyBorder="1" applyAlignment="1">
      <alignment horizontal="center" vertical="center" wrapText="1"/>
    </xf>
    <xf numFmtId="0" fontId="4" fillId="0" borderId="22"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88" fillId="0" borderId="23"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25"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4"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27" xfId="0" applyNumberFormat="1" applyFont="1" applyBorder="1" applyAlignment="1">
      <alignment horizontal="left"/>
    </xf>
    <xf numFmtId="0" fontId="119" fillId="48" borderId="57" xfId="40" applyFont="1" applyFill="1" applyBorder="1" applyAlignment="1">
      <alignment horizontal="center" vertical="center" wrapText="1"/>
    </xf>
    <xf numFmtId="0" fontId="119" fillId="48" borderId="45" xfId="40" applyFont="1" applyFill="1" applyBorder="1" applyAlignment="1">
      <alignment horizontal="center" vertical="center" wrapText="1"/>
    </xf>
    <xf numFmtId="0" fontId="106" fillId="0" borderId="12" xfId="0" applyFont="1" applyBorder="1" applyAlignment="1">
      <alignment horizontal="center" vertical="center" wrapText="1"/>
    </xf>
    <xf numFmtId="0" fontId="106" fillId="0" borderId="0" xfId="0" applyFont="1" applyBorder="1" applyAlignment="1">
      <alignment horizontal="center" vertical="center" wrapText="1"/>
    </xf>
    <xf numFmtId="49" fontId="87" fillId="0" borderId="29" xfId="0" applyNumberFormat="1" applyFont="1" applyBorder="1" applyAlignment="1">
      <alignment horizontal="center" vertical="center" wrapText="1"/>
    </xf>
    <xf numFmtId="49" fontId="87" fillId="0" borderId="13" xfId="0" applyNumberFormat="1" applyFont="1" applyBorder="1" applyAlignment="1">
      <alignment horizontal="center" vertical="center" wrapText="1"/>
    </xf>
    <xf numFmtId="0" fontId="82" fillId="0" borderId="12" xfId="40" applyFont="1" applyBorder="1" applyAlignment="1">
      <alignment horizontal="center" vertical="center" wrapText="1"/>
    </xf>
    <xf numFmtId="0" fontId="82" fillId="0" borderId="75" xfId="40" applyFont="1" applyBorder="1" applyAlignment="1">
      <alignment horizontal="center" vertical="center" wrapText="1"/>
    </xf>
    <xf numFmtId="0" fontId="9" fillId="0" borderId="63" xfId="41" applyFont="1" applyBorder="1" applyAlignment="1">
      <alignment horizontal="center" vertical="center"/>
    </xf>
    <xf numFmtId="0" fontId="9" fillId="0" borderId="58" xfId="41" applyFont="1" applyBorder="1" applyAlignment="1">
      <alignment horizontal="center" vertical="center"/>
    </xf>
    <xf numFmtId="0" fontId="9" fillId="0" borderId="59" xfId="41" applyFont="1" applyBorder="1" applyAlignment="1">
      <alignment horizontal="center" vertical="center"/>
    </xf>
    <xf numFmtId="0" fontId="82" fillId="0" borderId="66" xfId="41" applyFont="1" applyBorder="1" applyAlignment="1">
      <alignment horizontal="left" vertical="center" wrapText="1" indent="1"/>
    </xf>
    <xf numFmtId="0" fontId="82" fillId="0" borderId="67" xfId="41" applyFont="1" applyBorder="1" applyAlignment="1">
      <alignment horizontal="left" vertical="center" wrapText="1" indent="1"/>
    </xf>
    <xf numFmtId="0" fontId="82" fillId="0" borderId="68" xfId="41" applyFont="1" applyBorder="1" applyAlignment="1">
      <alignment horizontal="left" vertical="center" wrapText="1" indent="1"/>
    </xf>
    <xf numFmtId="0" fontId="107" fillId="0" borderId="0" xfId="41" applyFont="1" applyBorder="1" applyAlignment="1">
      <alignment horizontal="left" wrapText="1"/>
    </xf>
    <xf numFmtId="0" fontId="27" fillId="0" borderId="3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27" fillId="0" borderId="37" xfId="0" applyFont="1" applyBorder="1" applyAlignment="1">
      <alignment horizontal="left" vertical="center"/>
    </xf>
    <xf numFmtId="0" fontId="27" fillId="0" borderId="50" xfId="0" applyFont="1" applyBorder="1" applyAlignment="1">
      <alignment horizontal="left" vertical="center"/>
    </xf>
    <xf numFmtId="0" fontId="27" fillId="0" borderId="32" xfId="0" applyFont="1" applyBorder="1" applyAlignment="1">
      <alignment horizontal="left"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8"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40" xfId="0" applyFont="1" applyBorder="1" applyAlignment="1">
      <alignment horizontal="left" vertical="center" wrapText="1" indent="1"/>
    </xf>
    <xf numFmtId="0" fontId="9" fillId="0" borderId="72" xfId="0" applyFont="1" applyBorder="1" applyAlignment="1">
      <alignment horizontal="center" vertical="center" wrapText="1"/>
    </xf>
    <xf numFmtId="0" fontId="9" fillId="0" borderId="41" xfId="0" applyFont="1" applyBorder="1" applyAlignment="1">
      <alignment horizontal="center" vertical="center" wrapText="1"/>
    </xf>
    <xf numFmtId="0" fontId="27" fillId="0" borderId="37" xfId="0" applyFont="1" applyBorder="1" applyAlignment="1">
      <alignment horizontal="left" vertical="center" wrapText="1"/>
    </xf>
    <xf numFmtId="0" fontId="27" fillId="0" borderId="50" xfId="0" applyFont="1" applyBorder="1" applyAlignment="1">
      <alignment horizontal="left" vertical="center" wrapText="1"/>
    </xf>
    <xf numFmtId="0" fontId="27" fillId="0" borderId="3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62" xfId="0" applyFont="1" applyBorder="1" applyAlignment="1">
      <alignment horizontal="left" vertical="center" wrapText="1" indent="1"/>
    </xf>
    <xf numFmtId="0" fontId="9" fillId="0" borderId="52" xfId="0" applyFont="1" applyBorder="1" applyAlignment="1">
      <alignment horizontal="left" vertical="center" wrapText="1" indent="1"/>
    </xf>
    <xf numFmtId="0" fontId="9" fillId="0" borderId="38" xfId="0" applyFont="1" applyBorder="1" applyAlignment="1">
      <alignment horizontal="left" vertical="center" wrapText="1" indent="1"/>
    </xf>
    <xf numFmtId="0" fontId="27" fillId="0" borderId="37" xfId="40" applyFont="1" applyBorder="1" applyAlignment="1">
      <alignment horizontal="left" vertical="center"/>
    </xf>
    <xf numFmtId="0" fontId="27" fillId="0" borderId="50" xfId="40" applyFont="1" applyBorder="1" applyAlignment="1">
      <alignment horizontal="left" vertical="center"/>
    </xf>
    <xf numFmtId="0" fontId="27" fillId="0" borderId="32" xfId="40" applyFont="1" applyBorder="1" applyAlignment="1">
      <alignment horizontal="left" vertical="center"/>
    </xf>
    <xf numFmtId="0" fontId="6" fillId="0" borderId="69" xfId="40" applyFont="1" applyBorder="1" applyAlignment="1">
      <alignment horizontal="center" vertical="center" wrapText="1"/>
    </xf>
    <xf numFmtId="0" fontId="6" fillId="0" borderId="70" xfId="40" applyFont="1" applyBorder="1" applyAlignment="1">
      <alignment horizontal="center" vertical="center"/>
    </xf>
    <xf numFmtId="0" fontId="6" fillId="0" borderId="71" xfId="40" applyFont="1" applyBorder="1" applyAlignment="1">
      <alignment horizontal="center" vertical="center"/>
    </xf>
    <xf numFmtId="0" fontId="9" fillId="0" borderId="23" xfId="40" applyFont="1" applyBorder="1" applyAlignment="1">
      <alignment horizontal="left" vertical="center" wrapText="1" indent="1"/>
    </xf>
    <xf numFmtId="0" fontId="9" fillId="0" borderId="25" xfId="40" applyFont="1" applyBorder="1" applyAlignment="1">
      <alignment horizontal="left" vertical="center" wrapText="1" indent="1"/>
    </xf>
    <xf numFmtId="0" fontId="9" fillId="0" borderId="24" xfId="40" applyFont="1" applyBorder="1" applyAlignment="1">
      <alignment horizontal="left" vertical="center" wrapText="1" indent="1"/>
    </xf>
    <xf numFmtId="0" fontId="27" fillId="0" borderId="35" xfId="40" applyFont="1" applyBorder="1" applyAlignment="1">
      <alignment horizontal="left" vertical="center"/>
    </xf>
    <xf numFmtId="0" fontId="27" fillId="0" borderId="46" xfId="40" applyFont="1" applyBorder="1" applyAlignment="1">
      <alignment horizontal="left" vertical="center"/>
    </xf>
    <xf numFmtId="0" fontId="27" fillId="0" borderId="47" xfId="40" applyFont="1" applyBorder="1" applyAlignment="1">
      <alignment horizontal="left" vertical="center"/>
    </xf>
    <xf numFmtId="0" fontId="27" fillId="36" borderId="48" xfId="40" applyFont="1" applyFill="1" applyBorder="1" applyAlignment="1">
      <alignment horizontal="left" vertical="center"/>
    </xf>
    <xf numFmtId="0" fontId="27" fillId="36" borderId="0" xfId="40" applyFont="1" applyFill="1" applyBorder="1" applyAlignment="1">
      <alignment horizontal="left" vertical="center"/>
    </xf>
    <xf numFmtId="0" fontId="27" fillId="36" borderId="49" xfId="40" applyFont="1" applyFill="1" applyBorder="1" applyAlignment="1">
      <alignment horizontal="left" vertical="center"/>
    </xf>
    <xf numFmtId="0" fontId="27" fillId="0" borderId="48" xfId="40" applyFont="1" applyBorder="1" applyAlignment="1">
      <alignment horizontal="left" vertical="center"/>
    </xf>
    <xf numFmtId="0" fontId="27" fillId="0" borderId="0" xfId="40" applyFont="1" applyBorder="1" applyAlignment="1">
      <alignment horizontal="left" vertical="center"/>
    </xf>
    <xf numFmtId="0" fontId="27" fillId="0" borderId="49" xfId="40" applyFont="1" applyBorder="1" applyAlignment="1">
      <alignment horizontal="lef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49" fontId="87" fillId="36" borderId="34" xfId="0" applyNumberFormat="1" applyFont="1" applyFill="1" applyBorder="1" applyAlignment="1">
      <alignment horizontal="center" vertical="center" wrapText="1"/>
    </xf>
    <xf numFmtId="49" fontId="87" fillId="36" borderId="14" xfId="0" applyNumberFormat="1" applyFont="1" applyFill="1" applyBorder="1" applyAlignment="1">
      <alignment horizontal="center" vertical="center" wrapText="1"/>
    </xf>
    <xf numFmtId="0" fontId="6" fillId="0" borderId="6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49" fontId="87" fillId="36" borderId="29" xfId="0" applyNumberFormat="1" applyFont="1" applyFill="1" applyBorder="1" applyAlignment="1">
      <alignment horizontal="center" vertical="center" wrapText="1"/>
    </xf>
    <xf numFmtId="49" fontId="87" fillId="36" borderId="13" xfId="0" applyNumberFormat="1" applyFont="1" applyFill="1" applyBorder="1" applyAlignment="1">
      <alignment horizontal="center" vertical="center" wrapText="1"/>
    </xf>
    <xf numFmtId="49" fontId="87" fillId="49" borderId="29" xfId="0" applyNumberFormat="1" applyFont="1" applyFill="1" applyBorder="1" applyAlignment="1">
      <alignment horizontal="center" vertical="center" wrapText="1"/>
    </xf>
    <xf numFmtId="49" fontId="87" fillId="49" borderId="13" xfId="0" applyNumberFormat="1" applyFont="1" applyFill="1" applyBorder="1" applyAlignment="1">
      <alignment horizontal="center" vertical="center" wrapText="1"/>
    </xf>
    <xf numFmtId="0" fontId="0" fillId="0" borderId="0" xfId="0" applyBorder="1" applyAlignment="1">
      <alignment horizontal="center" vertical="top" wrapText="1"/>
    </xf>
    <xf numFmtId="0" fontId="137" fillId="0" borderId="0" xfId="0" applyFont="1" applyBorder="1" applyAlignment="1">
      <alignment horizontal="center" vertical="top" wrapText="1"/>
    </xf>
    <xf numFmtId="49" fontId="5" fillId="0" borderId="0" xfId="0" applyNumberFormat="1" applyFont="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7" fillId="0" borderId="0" xfId="0" applyFont="1" applyFill="1" applyBorder="1" applyAlignment="1">
      <alignment horizontal="left" wrapText="1"/>
    </xf>
    <xf numFmtId="49" fontId="34" fillId="0" borderId="0" xfId="0" applyNumberFormat="1" applyFont="1" applyBorder="1" applyAlignment="1">
      <alignment horizontal="center" vertical="center" wrapText="1"/>
    </xf>
    <xf numFmtId="0" fontId="6" fillId="0" borderId="6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9" fillId="0" borderId="61" xfId="0" applyFont="1" applyFill="1" applyBorder="1" applyAlignment="1">
      <alignment horizontal="left" vertical="center" wrapText="1" indent="1"/>
    </xf>
    <xf numFmtId="0" fontId="9" fillId="0" borderId="72" xfId="0" applyFont="1" applyFill="1" applyBorder="1" applyAlignment="1">
      <alignment horizontal="left" vertical="center" wrapText="1" indent="1"/>
    </xf>
    <xf numFmtId="0" fontId="9" fillId="0" borderId="67" xfId="0" applyFont="1" applyFill="1" applyBorder="1" applyAlignment="1">
      <alignment horizontal="left" vertical="center" wrapText="1" indent="1"/>
    </xf>
    <xf numFmtId="0" fontId="9" fillId="0" borderId="41" xfId="0" applyFont="1" applyFill="1" applyBorder="1" applyAlignment="1">
      <alignment horizontal="left" vertical="center" wrapText="1" indent="1"/>
    </xf>
    <xf numFmtId="0" fontId="76" fillId="0" borderId="1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87"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0" xfId="0" applyFont="1" applyFill="1" applyAlignment="1">
      <alignment horizontal="center" wrapText="1"/>
    </xf>
    <xf numFmtId="0" fontId="0" fillId="0" borderId="0" xfId="0" applyFill="1" applyAlignment="1">
      <alignment horizontal="center" wrapText="1"/>
    </xf>
    <xf numFmtId="0" fontId="5" fillId="0" borderId="0" xfId="0" applyFont="1" applyFill="1" applyBorder="1" applyAlignment="1">
      <alignment horizontal="left" vertical="top" wrapText="1"/>
    </xf>
    <xf numFmtId="4" fontId="148" fillId="0" borderId="48" xfId="0" applyNumberFormat="1" applyFont="1" applyFill="1" applyBorder="1" applyAlignment="1">
      <alignment horizontal="center" wrapText="1"/>
    </xf>
    <xf numFmtId="4" fontId="148" fillId="0" borderId="0" xfId="0" applyNumberFormat="1" applyFont="1" applyFill="1" applyAlignment="1">
      <alignment horizontal="center" wrapText="1"/>
    </xf>
    <xf numFmtId="0" fontId="6" fillId="0" borderId="30" xfId="43" applyFont="1" applyBorder="1" applyAlignment="1">
      <alignment horizontal="center" vertical="center" wrapText="1"/>
    </xf>
    <xf numFmtId="0" fontId="6" fillId="0" borderId="31" xfId="43" applyFont="1" applyBorder="1" applyAlignment="1">
      <alignment horizontal="center" vertical="center" wrapText="1"/>
    </xf>
    <xf numFmtId="0" fontId="6" fillId="0" borderId="36" xfId="43"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49" fontId="5" fillId="0" borderId="0" xfId="0" applyNumberFormat="1" applyFont="1" applyAlignment="1">
      <alignment horizontal="left" vertical="center" wrapText="1"/>
    </xf>
    <xf numFmtId="0" fontId="94" fillId="0" borderId="46" xfId="0" applyFont="1" applyBorder="1" applyAlignment="1">
      <alignment horizontal="left" vertical="center" wrapText="1"/>
    </xf>
    <xf numFmtId="0" fontId="32" fillId="0" borderId="35" xfId="0" applyFont="1" applyBorder="1" applyAlignment="1">
      <alignment horizontal="left" vertical="center"/>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32" fillId="0" borderId="37" xfId="0" applyFont="1" applyBorder="1" applyAlignment="1">
      <alignment horizontal="left" vertical="center"/>
    </xf>
    <xf numFmtId="0" fontId="32" fillId="0" borderId="50" xfId="0" applyFont="1" applyBorder="1" applyAlignment="1">
      <alignment horizontal="left" vertical="center"/>
    </xf>
    <xf numFmtId="0" fontId="32" fillId="0" borderId="32" xfId="0" applyFont="1" applyBorder="1" applyAlignment="1">
      <alignment horizontal="left" vertical="center"/>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4" fontId="85" fillId="0" borderId="12" xfId="40" applyNumberFormat="1" applyFont="1" applyBorder="1" applyAlignment="1">
      <alignment horizontal="center" vertical="center" wrapText="1"/>
    </xf>
    <xf numFmtId="4" fontId="85" fillId="0" borderId="0" xfId="40" applyNumberFormat="1" applyFont="1" applyAlignment="1">
      <alignment horizontal="center" vertical="center" wrapText="1"/>
    </xf>
    <xf numFmtId="4" fontId="5" fillId="0" borderId="0" xfId="40" applyNumberFormat="1" applyFont="1" applyAlignment="1">
      <alignment horizontal="left" vertical="center" wrapText="1"/>
    </xf>
    <xf numFmtId="0" fontId="6" fillId="0" borderId="70" xfId="40" applyFont="1" applyBorder="1" applyAlignment="1">
      <alignment horizontal="center" vertical="center" wrapText="1"/>
    </xf>
    <xf numFmtId="0" fontId="6" fillId="0" borderId="74" xfId="40" applyFont="1" applyBorder="1" applyAlignment="1">
      <alignment horizontal="center" vertical="center" wrapText="1"/>
    </xf>
    <xf numFmtId="0" fontId="6" fillId="0" borderId="71" xfId="40" applyFont="1" applyBorder="1" applyAlignment="1">
      <alignment horizontal="center" vertical="center" wrapText="1"/>
    </xf>
    <xf numFmtId="0" fontId="9" fillId="0" borderId="30" xfId="40" applyFont="1" applyBorder="1" applyAlignment="1">
      <alignment horizontal="left" vertical="center" wrapText="1" indent="1"/>
    </xf>
    <xf numFmtId="0" fontId="9" fillId="0" borderId="31" xfId="40" applyFont="1" applyBorder="1" applyAlignment="1">
      <alignment horizontal="left" vertical="center" wrapText="1" indent="1"/>
    </xf>
    <xf numFmtId="0" fontId="9" fillId="0" borderId="53" xfId="40" applyFont="1" applyBorder="1" applyAlignment="1">
      <alignment horizontal="left" vertical="center" wrapText="1" indent="1"/>
    </xf>
    <xf numFmtId="0" fontId="9" fillId="0" borderId="36" xfId="40" applyFont="1" applyBorder="1" applyAlignment="1">
      <alignment horizontal="left" vertical="center" wrapText="1" indent="1"/>
    </xf>
    <xf numFmtId="0" fontId="9" fillId="0" borderId="29" xfId="40" applyFont="1" applyBorder="1" applyAlignment="1">
      <alignment horizontal="center" vertical="center" wrapText="1"/>
    </xf>
    <xf numFmtId="0" fontId="27" fillId="0" borderId="13" xfId="40" applyFont="1" applyBorder="1" applyAlignment="1">
      <alignment horizontal="left" vertical="center" wrapText="1"/>
    </xf>
    <xf numFmtId="49" fontId="4" fillId="0" borderId="37" xfId="40" applyNumberFormat="1" applyFont="1" applyBorder="1" applyAlignment="1">
      <alignment horizontal="center" vertical="center" wrapText="1"/>
    </xf>
    <xf numFmtId="49" fontId="4" fillId="0" borderId="13" xfId="40" applyNumberFormat="1" applyFont="1" applyBorder="1" applyAlignment="1">
      <alignment horizontal="center" vertical="center" wrapText="1"/>
    </xf>
    <xf numFmtId="3" fontId="9" fillId="0" borderId="22" xfId="45" applyNumberFormat="1" applyFont="1" applyBorder="1" applyAlignment="1">
      <alignment horizontal="center" vertical="center" wrapText="1"/>
    </xf>
    <xf numFmtId="3" fontId="9" fillId="0" borderId="15" xfId="45"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3" fontId="14" fillId="0" borderId="63" xfId="45" applyNumberFormat="1" applyFont="1" applyBorder="1" applyAlignment="1">
      <alignment horizontal="center" vertical="center" wrapText="1"/>
    </xf>
    <xf numFmtId="3" fontId="14" fillId="0" borderId="58" xfId="45" applyNumberFormat="1" applyFont="1" applyBorder="1" applyAlignment="1">
      <alignment horizontal="center" vertical="center" wrapText="1"/>
    </xf>
    <xf numFmtId="3" fontId="14" fillId="0" borderId="59" xfId="45" applyNumberFormat="1" applyFont="1" applyBorder="1" applyAlignment="1">
      <alignment horizontal="center" vertical="center" wrapText="1"/>
    </xf>
    <xf numFmtId="3" fontId="14" fillId="0" borderId="63" xfId="110" applyNumberFormat="1" applyFont="1" applyBorder="1" applyAlignment="1">
      <alignment horizontal="center" vertical="center" wrapText="1"/>
    </xf>
    <xf numFmtId="3" fontId="14" fillId="0" borderId="58" xfId="110" applyNumberFormat="1" applyFont="1" applyBorder="1" applyAlignment="1">
      <alignment horizontal="center" vertical="center" wrapText="1"/>
    </xf>
    <xf numFmtId="3" fontId="14" fillId="0" borderId="59" xfId="110" applyNumberFormat="1" applyFont="1" applyBorder="1" applyAlignment="1">
      <alignment horizontal="center" vertical="center" wrapText="1"/>
    </xf>
    <xf numFmtId="3" fontId="9" fillId="0" borderId="63" xfId="110" applyNumberFormat="1" applyFont="1" applyBorder="1" applyAlignment="1">
      <alignment horizontal="left" vertical="center" wrapText="1" indent="1"/>
    </xf>
    <xf numFmtId="3" fontId="9" fillId="0" borderId="58" xfId="110" applyNumberFormat="1" applyFont="1" applyBorder="1" applyAlignment="1">
      <alignment horizontal="left" vertical="center" wrapText="1" indent="1"/>
    </xf>
    <xf numFmtId="3" fontId="9" fillId="0" borderId="59" xfId="110" applyNumberFormat="1" applyFont="1" applyBorder="1" applyAlignment="1">
      <alignment horizontal="left" vertical="center" wrapText="1" indent="1"/>
    </xf>
    <xf numFmtId="0" fontId="60" fillId="32" borderId="15" xfId="93" applyFont="1" applyFill="1" applyBorder="1" applyAlignment="1"/>
    <xf numFmtId="0" fontId="60" fillId="32" borderId="13" xfId="93" applyFont="1" applyFill="1" applyBorder="1" applyAlignment="1"/>
    <xf numFmtId="0" fontId="60" fillId="0" borderId="15" xfId="93" applyFont="1" applyBorder="1" applyAlignment="1"/>
    <xf numFmtId="0" fontId="60" fillId="0" borderId="13" xfId="93" applyFont="1" applyBorder="1" applyAlignment="1"/>
    <xf numFmtId="0" fontId="60" fillId="32" borderId="16" xfId="93" applyFont="1" applyFill="1" applyBorder="1" applyAlignment="1"/>
    <xf numFmtId="0" fontId="60" fillId="32" borderId="17" xfId="93" applyFont="1" applyFill="1" applyBorder="1" applyAlignment="1"/>
    <xf numFmtId="0" fontId="9" fillId="0" borderId="63"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14" fillId="0" borderId="66" xfId="0" applyNumberFormat="1" applyFont="1" applyBorder="1" applyAlignment="1">
      <alignment horizontal="center" vertical="center" wrapText="1"/>
    </xf>
    <xf numFmtId="0" fontId="14" fillId="0" borderId="67" xfId="0" applyNumberFormat="1" applyFont="1" applyBorder="1" applyAlignment="1">
      <alignment horizontal="center" vertical="center" wrapText="1"/>
    </xf>
    <xf numFmtId="0" fontId="14"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10" fillId="0" borderId="50" xfId="0" applyFont="1" applyBorder="1" applyAlignment="1">
      <alignment horizontal="left"/>
    </xf>
    <xf numFmtId="0" fontId="6" fillId="0" borderId="6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0" xfId="0" applyFont="1" applyBorder="1" applyAlignment="1">
      <alignment horizontal="center" vertical="center" wrapText="1"/>
    </xf>
  </cellXfs>
  <cellStyles count="11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1"/>
    <cellStyle name="čiarky 2" xfId="28"/>
    <cellStyle name="čiarky 2 2" xfId="92"/>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0"/>
    <cellStyle name="Normálna 3" xfId="89"/>
    <cellStyle name="Normálna 4" xfId="105"/>
    <cellStyle name="Normálna 5" xfId="108"/>
    <cellStyle name="normálne 2" xfId="41"/>
    <cellStyle name="normálne 2 2" xfId="107"/>
    <cellStyle name="normálne 2 3" xfId="106"/>
    <cellStyle name="normálne 3" xfId="42"/>
    <cellStyle name="normálne 3 2" xfId="93"/>
    <cellStyle name="normálne 4" xfId="43"/>
    <cellStyle name="normálne 4 2" xfId="94"/>
    <cellStyle name="normálne_Databazy_VVŠ_2007_ severská" xfId="44"/>
    <cellStyle name="normálne_Databazy_VVŠ_2007_ severská 2" xfId="110"/>
    <cellStyle name="normálne_Hárok1" xfId="109"/>
    <cellStyle name="normálne_sprava_VVŠ_2004_tabuľky_vláda" xfId="45"/>
    <cellStyle name="normální_List1" xfId="95"/>
    <cellStyle name="Note" xfId="46"/>
    <cellStyle name="Note 2" xfId="9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 2" xfId="97"/>
    <cellStyle name="SAPBEXHLevel0X" xfId="68"/>
    <cellStyle name="SAPBEXHLevel0X 2" xfId="98"/>
    <cellStyle name="SAPBEXHLevel1" xfId="69"/>
    <cellStyle name="SAPBEXHLevel1 2" xfId="99"/>
    <cellStyle name="SAPBEXHLevel1X" xfId="70"/>
    <cellStyle name="SAPBEXHLevel1X 2" xfId="100"/>
    <cellStyle name="SAPBEXHLevel2" xfId="71"/>
    <cellStyle name="SAPBEXHLevel2 2" xfId="101"/>
    <cellStyle name="SAPBEXHLevel2X" xfId="72"/>
    <cellStyle name="SAPBEXHLevel2X 2" xfId="102"/>
    <cellStyle name="SAPBEXHLevel3" xfId="73"/>
    <cellStyle name="SAPBEXHLevel3 2" xfId="103"/>
    <cellStyle name="SAPBEXHLevel3X" xfId="74"/>
    <cellStyle name="SAPBEXHLevel3X 2" xfId="10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CCFFCC"/>
      <color rgb="FF0000FF"/>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nakova/Desktop/V&#253;ro&#269;n&#225;%20spr&#225;va%202019/&#218;pravy%20dot&#225;cie_2019_1%20-%20definit&#237;v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pravy"/>
      <sheetName val="súhrnná po AS"/>
    </sheetNames>
    <sheetDataSet>
      <sheetData sheetId="0"/>
      <sheetData sheetId="1">
        <row r="5">
          <cell r="S5">
            <v>79084933.36999999</v>
          </cell>
        </row>
        <row r="48">
          <cell r="S48">
            <v>13870133.850000001</v>
          </cell>
        </row>
        <row r="71">
          <cell r="S71">
            <v>1804555</v>
          </cell>
        </row>
        <row r="72">
          <cell r="S72">
            <v>380126</v>
          </cell>
        </row>
        <row r="73">
          <cell r="S73">
            <v>88699</v>
          </cell>
        </row>
        <row r="76">
          <cell r="S76">
            <v>730978</v>
          </cell>
        </row>
        <row r="77">
          <cell r="S77">
            <v>1197746</v>
          </cell>
        </row>
        <row r="78">
          <cell r="S78">
            <v>551273</v>
          </cell>
        </row>
        <row r="80">
          <cell r="S80">
            <v>3755798.33</v>
          </cell>
        </row>
        <row r="89">
          <cell r="S89">
            <v>101467</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portal.minedu.sk/sites/sfar/Zdielane%20dokumenty/Zd_SFaR/Zd_OFV&#352;/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0" customWidth="1"/>
    <col min="2" max="16" width="9.140625" style="88"/>
    <col min="17" max="17" width="10.28515625" style="88" customWidth="1"/>
    <col min="18" max="18" width="19.42578125" style="88" customWidth="1"/>
    <col min="19" max="16384" width="9.140625" style="88"/>
  </cols>
  <sheetData>
    <row r="1" spans="1:18" ht="23.25" customHeight="1" x14ac:dyDescent="0.25">
      <c r="A1" s="189"/>
      <c r="B1" s="381" t="s">
        <v>1084</v>
      </c>
      <c r="C1" s="371"/>
      <c r="D1" s="371"/>
      <c r="E1" s="371"/>
      <c r="F1" s="371"/>
      <c r="G1" s="371"/>
      <c r="H1" s="371"/>
      <c r="I1" s="371"/>
      <c r="J1" s="371"/>
      <c r="K1" s="371"/>
      <c r="L1" s="372"/>
      <c r="M1" s="373"/>
      <c r="N1" s="373"/>
      <c r="O1" s="373"/>
      <c r="P1" s="373"/>
      <c r="Q1" s="374"/>
    </row>
    <row r="2" spans="1:18" ht="23.1" customHeight="1" x14ac:dyDescent="0.25">
      <c r="A2" s="214" t="s">
        <v>12</v>
      </c>
      <c r="B2" s="191" t="s">
        <v>1085</v>
      </c>
      <c r="C2" s="191"/>
      <c r="D2" s="191"/>
      <c r="E2" s="191"/>
      <c r="F2" s="191"/>
      <c r="G2" s="191"/>
      <c r="H2" s="191"/>
      <c r="I2" s="191"/>
      <c r="J2" s="191"/>
      <c r="K2" s="191"/>
      <c r="L2" s="191"/>
      <c r="M2" s="191"/>
      <c r="N2" s="191"/>
      <c r="O2" s="191"/>
      <c r="P2" s="191"/>
      <c r="Q2" s="376"/>
    </row>
    <row r="3" spans="1:18" ht="23.1" customHeight="1" x14ac:dyDescent="0.25">
      <c r="A3" s="214" t="s">
        <v>665</v>
      </c>
      <c r="B3" s="191" t="s">
        <v>1086</v>
      </c>
      <c r="C3" s="191"/>
      <c r="D3" s="191"/>
      <c r="E3" s="191"/>
      <c r="F3" s="191"/>
      <c r="G3" s="191"/>
      <c r="H3" s="191"/>
      <c r="I3" s="191"/>
      <c r="J3" s="191"/>
      <c r="K3" s="191"/>
      <c r="L3" s="191"/>
      <c r="M3" s="191"/>
      <c r="N3" s="191"/>
      <c r="O3" s="191"/>
      <c r="P3" s="191"/>
      <c r="Q3" s="376"/>
    </row>
    <row r="4" spans="1:18" ht="23.1" customHeight="1" x14ac:dyDescent="0.25">
      <c r="A4" s="214" t="s">
        <v>800</v>
      </c>
      <c r="B4" s="215" t="s">
        <v>799</v>
      </c>
      <c r="C4" s="215"/>
      <c r="D4" s="191"/>
      <c r="E4" s="191"/>
      <c r="F4" s="191"/>
      <c r="G4" s="191"/>
      <c r="H4" s="191"/>
      <c r="I4" s="191"/>
      <c r="J4" s="191"/>
      <c r="K4" s="191"/>
      <c r="L4" s="191"/>
      <c r="M4" s="191"/>
      <c r="N4" s="191"/>
      <c r="O4" s="191"/>
      <c r="P4" s="191"/>
      <c r="Q4" s="376"/>
      <c r="R4" s="555"/>
    </row>
    <row r="5" spans="1:18" ht="39.75" customHeight="1" x14ac:dyDescent="0.25">
      <c r="A5" s="213" t="s">
        <v>281</v>
      </c>
      <c r="B5" s="896" t="s">
        <v>1088</v>
      </c>
      <c r="C5" s="896"/>
      <c r="D5" s="896"/>
      <c r="E5" s="896"/>
      <c r="F5" s="896"/>
      <c r="G5" s="896"/>
      <c r="H5" s="896"/>
      <c r="I5" s="896"/>
      <c r="J5" s="896"/>
      <c r="K5" s="896"/>
      <c r="L5" s="896"/>
      <c r="M5" s="896"/>
      <c r="N5" s="896"/>
      <c r="O5" s="896"/>
      <c r="P5" s="896"/>
      <c r="Q5" s="897"/>
    </row>
    <row r="6" spans="1:18" ht="23.1" customHeight="1" x14ac:dyDescent="0.25">
      <c r="A6" s="213" t="s">
        <v>181</v>
      </c>
      <c r="B6" s="215" t="s">
        <v>1087</v>
      </c>
      <c r="C6" s="215"/>
      <c r="D6" s="215"/>
      <c r="E6" s="215"/>
      <c r="F6" s="215"/>
      <c r="G6" s="215"/>
      <c r="H6" s="215"/>
      <c r="I6" s="215"/>
      <c r="J6" s="215"/>
      <c r="K6" s="215"/>
      <c r="L6" s="215"/>
      <c r="M6" s="215"/>
      <c r="N6" s="215"/>
      <c r="O6" s="215"/>
      <c r="P6" s="215"/>
      <c r="Q6" s="377"/>
    </row>
    <row r="7" spans="1:18" ht="23.1" customHeight="1" x14ac:dyDescent="0.25">
      <c r="A7" s="213" t="s">
        <v>182</v>
      </c>
      <c r="B7" s="327" t="s">
        <v>1089</v>
      </c>
      <c r="C7" s="215"/>
      <c r="D7" s="215"/>
      <c r="E7" s="215"/>
      <c r="F7" s="215"/>
      <c r="G7" s="215"/>
      <c r="H7" s="215"/>
      <c r="I7" s="215"/>
      <c r="J7" s="215"/>
      <c r="K7" s="215"/>
      <c r="L7" s="215"/>
      <c r="M7" s="215"/>
      <c r="N7" s="215"/>
      <c r="O7" s="215"/>
      <c r="P7" s="215"/>
      <c r="Q7" s="377"/>
    </row>
    <row r="8" spans="1:18" ht="23.1" customHeight="1" x14ac:dyDescent="0.25">
      <c r="A8" s="190" t="s">
        <v>183</v>
      </c>
      <c r="B8" s="188" t="s">
        <v>1090</v>
      </c>
      <c r="C8" s="188"/>
      <c r="D8" s="188"/>
      <c r="E8" s="188"/>
      <c r="F8" s="188"/>
      <c r="G8" s="188"/>
      <c r="H8" s="188"/>
      <c r="I8" s="188"/>
      <c r="J8" s="188"/>
      <c r="K8" s="188"/>
      <c r="L8" s="188"/>
      <c r="M8" s="188"/>
      <c r="N8" s="188"/>
      <c r="O8" s="188"/>
      <c r="P8" s="188"/>
      <c r="Q8" s="375"/>
    </row>
    <row r="9" spans="1:18" ht="23.1" customHeight="1" x14ac:dyDescent="0.25">
      <c r="A9" s="213" t="s">
        <v>184</v>
      </c>
      <c r="B9" s="215" t="s">
        <v>1091</v>
      </c>
      <c r="C9" s="215"/>
      <c r="D9" s="215"/>
      <c r="E9" s="215"/>
      <c r="F9" s="215"/>
      <c r="G9" s="215"/>
      <c r="H9" s="215"/>
      <c r="I9" s="215"/>
      <c r="J9" s="215"/>
      <c r="K9" s="215"/>
      <c r="L9" s="215"/>
      <c r="M9" s="215"/>
      <c r="N9" s="215"/>
      <c r="O9" s="215"/>
      <c r="P9" s="215"/>
      <c r="Q9" s="377"/>
    </row>
    <row r="10" spans="1:18" ht="23.1" customHeight="1" x14ac:dyDescent="0.25">
      <c r="A10" s="213" t="s">
        <v>185</v>
      </c>
      <c r="B10" s="215" t="s">
        <v>1092</v>
      </c>
      <c r="C10" s="215"/>
      <c r="D10" s="215"/>
      <c r="E10" s="215"/>
      <c r="F10" s="215"/>
      <c r="G10" s="215"/>
      <c r="H10" s="215"/>
      <c r="I10" s="215"/>
      <c r="J10" s="215"/>
      <c r="K10" s="215"/>
      <c r="L10" s="215"/>
      <c r="M10" s="215"/>
      <c r="N10" s="215"/>
      <c r="O10" s="215"/>
      <c r="P10" s="215"/>
      <c r="Q10" s="377"/>
    </row>
    <row r="11" spans="1:18" ht="23.1" customHeight="1" x14ac:dyDescent="0.25">
      <c r="A11" s="190" t="s">
        <v>810</v>
      </c>
      <c r="B11" s="188" t="s">
        <v>1093</v>
      </c>
      <c r="C11" s="188"/>
      <c r="D11" s="188"/>
      <c r="E11" s="188"/>
      <c r="F11" s="188"/>
      <c r="G11" s="188"/>
      <c r="H11" s="188"/>
      <c r="I11" s="188"/>
      <c r="J11" s="188"/>
      <c r="K11" s="188"/>
      <c r="L11" s="188"/>
      <c r="M11" s="188"/>
      <c r="N11" s="188"/>
      <c r="O11" s="188"/>
      <c r="P11" s="188"/>
      <c r="Q11" s="375"/>
    </row>
    <row r="12" spans="1:18" ht="23.1" customHeight="1" x14ac:dyDescent="0.25">
      <c r="A12" s="213" t="s">
        <v>186</v>
      </c>
      <c r="B12" s="215" t="s">
        <v>1220</v>
      </c>
      <c r="C12" s="215"/>
      <c r="D12" s="215"/>
      <c r="E12" s="215"/>
      <c r="F12" s="215"/>
      <c r="G12" s="215"/>
      <c r="H12" s="215"/>
      <c r="I12" s="215"/>
      <c r="J12" s="215"/>
      <c r="K12" s="215"/>
      <c r="L12" s="215"/>
      <c r="M12" s="215"/>
      <c r="N12" s="215"/>
      <c r="O12" s="215"/>
      <c r="P12" s="215"/>
      <c r="Q12" s="377"/>
      <c r="R12" s="317"/>
    </row>
    <row r="13" spans="1:18" ht="23.1" customHeight="1" x14ac:dyDescent="0.25">
      <c r="A13" s="190" t="s">
        <v>168</v>
      </c>
      <c r="B13" s="188" t="s">
        <v>1094</v>
      </c>
      <c r="C13" s="188"/>
      <c r="D13" s="188"/>
      <c r="E13" s="188"/>
      <c r="F13" s="188"/>
      <c r="G13" s="188"/>
      <c r="H13" s="188"/>
      <c r="I13" s="188"/>
      <c r="J13" s="188"/>
      <c r="K13" s="188"/>
      <c r="L13" s="188"/>
      <c r="M13" s="188"/>
      <c r="N13" s="188"/>
      <c r="O13" s="188"/>
      <c r="P13" s="188"/>
      <c r="Q13" s="375"/>
    </row>
    <row r="14" spans="1:18" ht="23.1" customHeight="1" x14ac:dyDescent="0.25">
      <c r="A14" s="213" t="s">
        <v>0</v>
      </c>
      <c r="B14" s="215" t="s">
        <v>1095</v>
      </c>
      <c r="C14" s="215"/>
      <c r="D14" s="215"/>
      <c r="E14" s="215"/>
      <c r="F14" s="215"/>
      <c r="G14" s="215"/>
      <c r="H14" s="215"/>
      <c r="I14" s="215"/>
      <c r="J14" s="215"/>
      <c r="K14" s="215"/>
      <c r="L14" s="215"/>
      <c r="M14" s="215"/>
      <c r="N14" s="215"/>
      <c r="O14" s="215"/>
      <c r="P14" s="215"/>
      <c r="Q14" s="377"/>
    </row>
    <row r="15" spans="1:18" ht="23.1" customHeight="1" x14ac:dyDescent="0.25">
      <c r="A15" s="190" t="s">
        <v>1</v>
      </c>
      <c r="B15" s="188" t="s">
        <v>1096</v>
      </c>
      <c r="C15" s="188"/>
      <c r="D15" s="188"/>
      <c r="E15" s="188"/>
      <c r="F15" s="188"/>
      <c r="G15" s="188"/>
      <c r="H15" s="188"/>
      <c r="I15" s="188"/>
      <c r="J15" s="188"/>
      <c r="K15" s="188"/>
      <c r="L15" s="188"/>
      <c r="M15" s="188"/>
      <c r="N15" s="188"/>
      <c r="O15" s="188"/>
      <c r="P15" s="188"/>
      <c r="Q15" s="375"/>
    </row>
    <row r="16" spans="1:18" ht="23.1" customHeight="1" x14ac:dyDescent="0.25">
      <c r="A16" s="213" t="s">
        <v>2</v>
      </c>
      <c r="B16" s="215" t="s">
        <v>1097</v>
      </c>
      <c r="C16" s="215"/>
      <c r="D16" s="215"/>
      <c r="E16" s="215"/>
      <c r="F16" s="215"/>
      <c r="G16" s="215"/>
      <c r="H16" s="215"/>
      <c r="I16" s="215"/>
      <c r="J16" s="215"/>
      <c r="K16" s="215"/>
      <c r="L16" s="215"/>
      <c r="M16" s="215"/>
      <c r="N16" s="215"/>
      <c r="O16" s="215"/>
      <c r="P16" s="215"/>
      <c r="Q16" s="377"/>
    </row>
    <row r="17" spans="1:17" ht="23.1" customHeight="1" x14ac:dyDescent="0.25">
      <c r="A17" s="190" t="s">
        <v>3</v>
      </c>
      <c r="B17" s="188" t="s">
        <v>1098</v>
      </c>
      <c r="C17" s="188"/>
      <c r="D17" s="188"/>
      <c r="E17" s="188"/>
      <c r="F17" s="188"/>
      <c r="G17" s="188"/>
      <c r="H17" s="188"/>
      <c r="I17" s="188"/>
      <c r="J17" s="188"/>
      <c r="K17" s="188"/>
      <c r="L17" s="188"/>
      <c r="M17" s="188"/>
      <c r="N17" s="188"/>
      <c r="O17" s="188"/>
      <c r="P17" s="188"/>
      <c r="Q17" s="375"/>
    </row>
    <row r="18" spans="1:17" ht="23.1" customHeight="1" x14ac:dyDescent="0.25">
      <c r="A18" s="213" t="s">
        <v>4</v>
      </c>
      <c r="B18" s="215" t="s">
        <v>1099</v>
      </c>
      <c r="C18" s="215"/>
      <c r="D18" s="215"/>
      <c r="E18" s="215"/>
      <c r="F18" s="215"/>
      <c r="G18" s="215"/>
      <c r="H18" s="215"/>
      <c r="I18" s="215"/>
      <c r="J18" s="215"/>
      <c r="K18" s="215"/>
      <c r="L18" s="215"/>
      <c r="M18" s="215"/>
      <c r="N18" s="215"/>
      <c r="O18" s="215"/>
      <c r="P18" s="215"/>
      <c r="Q18" s="377"/>
    </row>
    <row r="19" spans="1:17" ht="23.1" customHeight="1" x14ac:dyDescent="0.25">
      <c r="A19" s="190" t="s">
        <v>5</v>
      </c>
      <c r="B19" s="188" t="s">
        <v>1100</v>
      </c>
      <c r="C19" s="188"/>
      <c r="D19" s="188"/>
      <c r="E19" s="188"/>
      <c r="F19" s="188"/>
      <c r="G19" s="188"/>
      <c r="H19" s="188"/>
      <c r="I19" s="188"/>
      <c r="J19" s="188"/>
      <c r="K19" s="188"/>
      <c r="L19" s="188"/>
      <c r="M19" s="188"/>
      <c r="N19" s="188"/>
      <c r="O19" s="188"/>
      <c r="P19" s="188"/>
      <c r="Q19" s="375"/>
    </row>
    <row r="20" spans="1:17" ht="32.450000000000003" customHeight="1" x14ac:dyDescent="0.25">
      <c r="A20" s="213" t="s">
        <v>62</v>
      </c>
      <c r="B20" s="900" t="s">
        <v>1101</v>
      </c>
      <c r="C20" s="900"/>
      <c r="D20" s="900"/>
      <c r="E20" s="900"/>
      <c r="F20" s="900"/>
      <c r="G20" s="900"/>
      <c r="H20" s="900"/>
      <c r="I20" s="900"/>
      <c r="J20" s="900"/>
      <c r="K20" s="900"/>
      <c r="L20" s="900"/>
      <c r="M20" s="900"/>
      <c r="N20" s="900"/>
      <c r="O20" s="900"/>
      <c r="P20" s="900"/>
      <c r="Q20" s="901"/>
    </row>
    <row r="21" spans="1:17" ht="33.6" customHeight="1" x14ac:dyDescent="0.25">
      <c r="A21" s="190" t="s">
        <v>6</v>
      </c>
      <c r="B21" s="898" t="s">
        <v>1102</v>
      </c>
      <c r="C21" s="898"/>
      <c r="D21" s="898"/>
      <c r="E21" s="898"/>
      <c r="F21" s="898"/>
      <c r="G21" s="898"/>
      <c r="H21" s="898"/>
      <c r="I21" s="898"/>
      <c r="J21" s="898"/>
      <c r="K21" s="898"/>
      <c r="L21" s="898"/>
      <c r="M21" s="898"/>
      <c r="N21" s="898"/>
      <c r="O21" s="898"/>
      <c r="P21" s="898"/>
      <c r="Q21" s="899"/>
    </row>
    <row r="22" spans="1:17" ht="23.1" customHeight="1" x14ac:dyDescent="0.25">
      <c r="A22" s="213" t="s">
        <v>7</v>
      </c>
      <c r="B22" s="215" t="s">
        <v>1103</v>
      </c>
      <c r="C22" s="215"/>
      <c r="D22" s="215"/>
      <c r="E22" s="215"/>
      <c r="F22" s="215"/>
      <c r="G22" s="215"/>
      <c r="H22" s="215"/>
      <c r="I22" s="215"/>
      <c r="J22" s="215"/>
      <c r="K22" s="215"/>
      <c r="L22" s="215"/>
      <c r="M22" s="215"/>
      <c r="N22" s="215"/>
      <c r="O22" s="215"/>
      <c r="P22" s="215"/>
      <c r="Q22" s="377"/>
    </row>
    <row r="23" spans="1:17" ht="23.1" customHeight="1" x14ac:dyDescent="0.25">
      <c r="A23" s="213" t="s">
        <v>8</v>
      </c>
      <c r="B23" s="188" t="s">
        <v>1104</v>
      </c>
      <c r="C23" s="188"/>
      <c r="D23" s="188"/>
      <c r="E23" s="188"/>
      <c r="F23" s="188"/>
      <c r="G23" s="188"/>
      <c r="H23" s="188"/>
      <c r="I23" s="188"/>
      <c r="J23" s="188"/>
      <c r="K23" s="188"/>
      <c r="L23" s="188"/>
      <c r="M23" s="188"/>
      <c r="N23" s="188"/>
      <c r="O23" s="188"/>
      <c r="P23" s="188"/>
      <c r="Q23" s="375"/>
    </row>
    <row r="24" spans="1:17" ht="23.1" customHeight="1" x14ac:dyDescent="0.25">
      <c r="A24" s="213" t="s">
        <v>9</v>
      </c>
      <c r="B24" s="215" t="s">
        <v>1105</v>
      </c>
      <c r="C24" s="215"/>
      <c r="D24" s="215"/>
      <c r="E24" s="215"/>
      <c r="F24" s="215"/>
      <c r="G24" s="215"/>
      <c r="H24" s="215"/>
      <c r="I24" s="215"/>
      <c r="J24" s="215"/>
      <c r="K24" s="215"/>
      <c r="L24" s="215"/>
      <c r="M24" s="215"/>
      <c r="N24" s="215"/>
      <c r="O24" s="215"/>
      <c r="P24" s="215"/>
      <c r="Q24" s="377"/>
    </row>
    <row r="25" spans="1:17" ht="23.1" customHeight="1" x14ac:dyDescent="0.25">
      <c r="A25" s="213" t="s">
        <v>507</v>
      </c>
      <c r="B25" s="188" t="s">
        <v>1106</v>
      </c>
      <c r="C25" s="188"/>
      <c r="D25" s="188"/>
      <c r="E25" s="188"/>
      <c r="F25" s="188"/>
      <c r="G25" s="188"/>
      <c r="H25" s="188"/>
      <c r="I25" s="188"/>
      <c r="J25" s="188"/>
      <c r="K25" s="188"/>
      <c r="L25" s="188"/>
      <c r="M25" s="188"/>
      <c r="N25" s="188"/>
      <c r="O25" s="188"/>
      <c r="P25" s="188"/>
      <c r="Q25" s="375"/>
    </row>
    <row r="26" spans="1:17" ht="23.1" customHeight="1" x14ac:dyDescent="0.25">
      <c r="A26" s="213" t="s">
        <v>508</v>
      </c>
      <c r="B26" s="215" t="s">
        <v>1107</v>
      </c>
      <c r="C26" s="370"/>
      <c r="D26" s="370"/>
      <c r="E26" s="370"/>
      <c r="F26" s="370"/>
      <c r="G26" s="370"/>
      <c r="H26" s="370"/>
      <c r="I26" s="370"/>
      <c r="J26" s="370"/>
      <c r="K26" s="370"/>
      <c r="L26" s="370"/>
      <c r="M26" s="370"/>
      <c r="N26" s="370"/>
      <c r="O26" s="370"/>
      <c r="P26" s="370"/>
      <c r="Q26" s="378"/>
    </row>
    <row r="27" spans="1:17" x14ac:dyDescent="0.25">
      <c r="A27" s="379"/>
    </row>
    <row r="28" spans="1:17" x14ac:dyDescent="0.25">
      <c r="A28" s="379"/>
    </row>
  </sheetData>
  <mergeCells count="3">
    <mergeCell ref="B5:Q5"/>
    <mergeCell ref="B21:Q21"/>
    <mergeCell ref="B20:Q20"/>
  </mergeCells>
  <phoneticPr fontId="8"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92"/>
  <sheetViews>
    <sheetView zoomScale="70" zoomScaleNormal="70" zoomScaleSheetLayoutView="80" workbookViewId="0">
      <pane xSplit="2" ySplit="5" topLeftCell="C105" activePane="bottomRight" state="frozen"/>
      <selection pane="topRight" activeCell="C1" sqref="C1"/>
      <selection pane="bottomLeft" activeCell="A6" sqref="A6"/>
      <selection pane="bottomRight" activeCell="B108" sqref="B108:J124"/>
    </sheetView>
  </sheetViews>
  <sheetFormatPr defaultColWidth="9.140625" defaultRowHeight="15.75" x14ac:dyDescent="0.25"/>
  <cols>
    <col min="1" max="1" width="8.42578125" style="3" customWidth="1"/>
    <col min="2" max="2" width="74.140625" style="126" customWidth="1"/>
    <col min="3" max="3" width="18" style="1" customWidth="1"/>
    <col min="4" max="7" width="17" style="1" customWidth="1"/>
    <col min="8" max="8" width="18" style="1" customWidth="1"/>
    <col min="9" max="9" width="15.7109375" style="479" customWidth="1"/>
    <col min="10" max="10" width="16.7109375" style="1" customWidth="1"/>
    <col min="11" max="11" width="16.140625" style="1" customWidth="1"/>
    <col min="12" max="12" width="8.85546875" style="1" customWidth="1"/>
    <col min="13" max="14" width="9.140625" style="1"/>
    <col min="15" max="15" width="20.85546875" style="1" customWidth="1"/>
    <col min="16" max="16384" width="9.140625" style="1"/>
  </cols>
  <sheetData>
    <row r="1" spans="1:9" ht="35.1" customHeight="1" thickBot="1" x14ac:dyDescent="0.3">
      <c r="A1" s="951" t="s">
        <v>996</v>
      </c>
      <c r="B1" s="952"/>
      <c r="C1" s="952"/>
      <c r="D1" s="952"/>
      <c r="E1" s="952"/>
      <c r="F1" s="952"/>
      <c r="G1" s="952"/>
      <c r="H1" s="953"/>
      <c r="I1" s="478"/>
    </row>
    <row r="2" spans="1:9" ht="32.450000000000003" customHeight="1" x14ac:dyDescent="0.25">
      <c r="A2" s="954" t="s">
        <v>366</v>
      </c>
      <c r="B2" s="955"/>
      <c r="C2" s="955"/>
      <c r="D2" s="955"/>
      <c r="E2" s="955"/>
      <c r="F2" s="955"/>
      <c r="G2" s="955"/>
      <c r="H2" s="956"/>
    </row>
    <row r="3" spans="1:9" s="10" customFormat="1" ht="31.5" customHeight="1" x14ac:dyDescent="0.25">
      <c r="A3" s="941" t="s">
        <v>180</v>
      </c>
      <c r="B3" s="942" t="s">
        <v>299</v>
      </c>
      <c r="C3" s="957">
        <v>2018</v>
      </c>
      <c r="D3" s="957"/>
      <c r="E3" s="957">
        <v>2019</v>
      </c>
      <c r="F3" s="957"/>
      <c r="G3" s="944" t="s">
        <v>994</v>
      </c>
      <c r="H3" s="946"/>
      <c r="I3" s="480"/>
    </row>
    <row r="4" spans="1:9" ht="31.5" customHeight="1" x14ac:dyDescent="0.25">
      <c r="A4" s="941"/>
      <c r="B4" s="943"/>
      <c r="C4" s="386" t="s">
        <v>300</v>
      </c>
      <c r="D4" s="386" t="s">
        <v>301</v>
      </c>
      <c r="E4" s="386" t="s">
        <v>300</v>
      </c>
      <c r="F4" s="386" t="s">
        <v>301</v>
      </c>
      <c r="G4" s="386" t="s">
        <v>300</v>
      </c>
      <c r="H4" s="387" t="s">
        <v>301</v>
      </c>
    </row>
    <row r="5" spans="1:9" x14ac:dyDescent="0.25">
      <c r="A5" s="31"/>
      <c r="B5" s="293"/>
      <c r="C5" s="38" t="s">
        <v>257</v>
      </c>
      <c r="D5" s="38" t="s">
        <v>258</v>
      </c>
      <c r="E5" s="38" t="s">
        <v>259</v>
      </c>
      <c r="F5" s="38" t="s">
        <v>266</v>
      </c>
      <c r="G5" s="38" t="s">
        <v>30</v>
      </c>
      <c r="H5" s="73" t="s">
        <v>31</v>
      </c>
    </row>
    <row r="6" spans="1:9" x14ac:dyDescent="0.25">
      <c r="A6" s="31">
        <v>1</v>
      </c>
      <c r="B6" s="291" t="s">
        <v>963</v>
      </c>
      <c r="C6" s="559">
        <f>SUM(C7:C18)</f>
        <v>4239914.08</v>
      </c>
      <c r="D6" s="559">
        <f>SUM(D7:D18)</f>
        <v>527916.78999999992</v>
      </c>
      <c r="E6" s="559">
        <f>SUM(E7:E18)</f>
        <v>4346172.3899999997</v>
      </c>
      <c r="F6" s="559">
        <f>SUM(F7:F18)</f>
        <v>507547.73000000004</v>
      </c>
      <c r="G6" s="57">
        <f>E6-C6</f>
        <v>106258.30999999959</v>
      </c>
      <c r="H6" s="136">
        <f>F6-D6</f>
        <v>-20369.059999999881</v>
      </c>
    </row>
    <row r="7" spans="1:9" ht="17.25" customHeight="1" x14ac:dyDescent="0.25">
      <c r="A7" s="31">
        <f>A6+1</f>
        <v>2</v>
      </c>
      <c r="B7" s="289" t="s">
        <v>759</v>
      </c>
      <c r="C7" s="573">
        <v>159743.74</v>
      </c>
      <c r="D7" s="573">
        <v>9872.41</v>
      </c>
      <c r="E7" s="573">
        <v>98500.86</v>
      </c>
      <c r="F7" s="573">
        <v>7435.57</v>
      </c>
      <c r="G7" s="140">
        <f>E7-C7</f>
        <v>-61242.87999999999</v>
      </c>
      <c r="H7" s="141">
        <f>F7-D7</f>
        <v>-2436.84</v>
      </c>
    </row>
    <row r="8" spans="1:9" ht="30.6" customHeight="1" x14ac:dyDescent="0.25">
      <c r="A8" s="31">
        <f t="shared" ref="A8:A71" si="0">A7+1</f>
        <v>3</v>
      </c>
      <c r="B8" s="292" t="s">
        <v>860</v>
      </c>
      <c r="C8" s="573">
        <v>329013.75</v>
      </c>
      <c r="D8" s="573">
        <v>13434.29</v>
      </c>
      <c r="E8" s="573">
        <v>340059.32</v>
      </c>
      <c r="F8" s="573">
        <v>19503.419999999998</v>
      </c>
      <c r="G8" s="140">
        <f t="shared" ref="G8:H71" si="1">E8-C8</f>
        <v>11045.570000000007</v>
      </c>
      <c r="H8" s="141">
        <f t="shared" si="1"/>
        <v>6069.1299999999974</v>
      </c>
    </row>
    <row r="9" spans="1:9" x14ac:dyDescent="0.25">
      <c r="A9" s="31">
        <f t="shared" si="0"/>
        <v>4</v>
      </c>
      <c r="B9" s="289" t="s">
        <v>760</v>
      </c>
      <c r="C9" s="573">
        <v>564232.1</v>
      </c>
      <c r="D9" s="573">
        <v>83654.149999999994</v>
      </c>
      <c r="E9" s="573">
        <v>606615.63</v>
      </c>
      <c r="F9" s="573">
        <v>60024.43</v>
      </c>
      <c r="G9" s="140">
        <f t="shared" si="1"/>
        <v>42383.530000000028</v>
      </c>
      <c r="H9" s="141">
        <f t="shared" si="1"/>
        <v>-23629.719999999994</v>
      </c>
    </row>
    <row r="10" spans="1:9" x14ac:dyDescent="0.25">
      <c r="A10" s="31">
        <f t="shared" si="0"/>
        <v>5</v>
      </c>
      <c r="B10" s="289" t="s">
        <v>761</v>
      </c>
      <c r="C10" s="573">
        <v>9165</v>
      </c>
      <c r="D10" s="573">
        <v>974.65</v>
      </c>
      <c r="E10" s="573">
        <v>10162.58</v>
      </c>
      <c r="F10" s="573">
        <v>1734.91</v>
      </c>
      <c r="G10" s="140">
        <f t="shared" si="1"/>
        <v>997.57999999999993</v>
      </c>
      <c r="H10" s="141">
        <f t="shared" si="1"/>
        <v>760.2600000000001</v>
      </c>
    </row>
    <row r="11" spans="1:9" x14ac:dyDescent="0.25">
      <c r="A11" s="31">
        <f t="shared" si="0"/>
        <v>6</v>
      </c>
      <c r="B11" s="289" t="s">
        <v>762</v>
      </c>
      <c r="C11" s="573">
        <v>43264.68</v>
      </c>
      <c r="D11" s="573">
        <v>8763.77</v>
      </c>
      <c r="E11" s="573">
        <v>20583.689999999999</v>
      </c>
      <c r="F11" s="573">
        <v>5697.09</v>
      </c>
      <c r="G11" s="140">
        <f t="shared" si="1"/>
        <v>-22680.99</v>
      </c>
      <c r="H11" s="141">
        <f t="shared" si="1"/>
        <v>-3066.6800000000003</v>
      </c>
    </row>
    <row r="12" spans="1:9" x14ac:dyDescent="0.25">
      <c r="A12" s="31">
        <f t="shared" si="0"/>
        <v>7</v>
      </c>
      <c r="B12" s="289" t="s">
        <v>763</v>
      </c>
      <c r="C12" s="573">
        <v>149176.03</v>
      </c>
      <c r="D12" s="573">
        <v>41625.910000000003</v>
      </c>
      <c r="E12" s="573">
        <v>152486.23000000001</v>
      </c>
      <c r="F12" s="573">
        <v>40712.769999999997</v>
      </c>
      <c r="G12" s="140">
        <f t="shared" si="1"/>
        <v>3310.2000000000116</v>
      </c>
      <c r="H12" s="141">
        <f t="shared" si="1"/>
        <v>-913.14000000000669</v>
      </c>
    </row>
    <row r="13" spans="1:9" ht="31.5" x14ac:dyDescent="0.25">
      <c r="A13" s="31">
        <f t="shared" si="0"/>
        <v>8</v>
      </c>
      <c r="B13" s="289" t="s">
        <v>102</v>
      </c>
      <c r="C13" s="573">
        <v>206552.23</v>
      </c>
      <c r="D13" s="573">
        <v>37710.21</v>
      </c>
      <c r="E13" s="573">
        <v>170832.16</v>
      </c>
      <c r="F13" s="573">
        <v>46559.34</v>
      </c>
      <c r="G13" s="140">
        <f t="shared" si="1"/>
        <v>-35720.070000000007</v>
      </c>
      <c r="H13" s="141">
        <f t="shared" si="1"/>
        <v>8849.1299999999974</v>
      </c>
    </row>
    <row r="14" spans="1:9" x14ac:dyDescent="0.25">
      <c r="A14" s="31">
        <f t="shared" si="0"/>
        <v>9</v>
      </c>
      <c r="B14" s="289" t="s">
        <v>103</v>
      </c>
      <c r="C14" s="573">
        <v>358927.82</v>
      </c>
      <c r="D14" s="573">
        <v>166677.07</v>
      </c>
      <c r="E14" s="573">
        <v>391796.59</v>
      </c>
      <c r="F14" s="573">
        <v>131545.76</v>
      </c>
      <c r="G14" s="140">
        <f t="shared" si="1"/>
        <v>32868.770000000019</v>
      </c>
      <c r="H14" s="141">
        <f t="shared" si="1"/>
        <v>-35131.31</v>
      </c>
    </row>
    <row r="15" spans="1:9" x14ac:dyDescent="0.25">
      <c r="A15" s="31">
        <f t="shared" si="0"/>
        <v>10</v>
      </c>
      <c r="B15" s="294" t="s">
        <v>104</v>
      </c>
      <c r="C15" s="573">
        <v>887845.42</v>
      </c>
      <c r="D15" s="573">
        <v>31640.560000000001</v>
      </c>
      <c r="E15" s="573">
        <v>1017818.93</v>
      </c>
      <c r="F15" s="573">
        <v>47923.44</v>
      </c>
      <c r="G15" s="140">
        <f t="shared" si="1"/>
        <v>129973.51000000001</v>
      </c>
      <c r="H15" s="141">
        <f t="shared" si="1"/>
        <v>16282.880000000001</v>
      </c>
    </row>
    <row r="16" spans="1:9" ht="16.149999999999999" customHeight="1" x14ac:dyDescent="0.25">
      <c r="A16" s="31">
        <f t="shared" si="0"/>
        <v>11</v>
      </c>
      <c r="B16" s="289" t="s">
        <v>105</v>
      </c>
      <c r="C16" s="573">
        <v>273172.93</v>
      </c>
      <c r="D16" s="573">
        <v>5549.71</v>
      </c>
      <c r="E16" s="573">
        <v>212564.34</v>
      </c>
      <c r="F16" s="573">
        <v>2989.78</v>
      </c>
      <c r="G16" s="140">
        <f t="shared" si="1"/>
        <v>-60608.59</v>
      </c>
      <c r="H16" s="141">
        <f t="shared" si="1"/>
        <v>-2559.9299999999998</v>
      </c>
    </row>
    <row r="17" spans="1:10" ht="31.5" x14ac:dyDescent="0.25">
      <c r="A17" s="31">
        <f t="shared" si="0"/>
        <v>12</v>
      </c>
      <c r="B17" s="294" t="s">
        <v>940</v>
      </c>
      <c r="C17" s="573">
        <v>632173.64</v>
      </c>
      <c r="D17" s="573">
        <v>61336.09</v>
      </c>
      <c r="E17" s="573">
        <v>783376.71</v>
      </c>
      <c r="F17" s="573">
        <v>82534.55</v>
      </c>
      <c r="G17" s="140">
        <f t="shared" si="1"/>
        <v>151203.06999999995</v>
      </c>
      <c r="H17" s="141">
        <f t="shared" si="1"/>
        <v>21198.460000000006</v>
      </c>
    </row>
    <row r="18" spans="1:10" x14ac:dyDescent="0.25">
      <c r="A18" s="31">
        <f t="shared" si="0"/>
        <v>13</v>
      </c>
      <c r="B18" s="289" t="s">
        <v>855</v>
      </c>
      <c r="C18" s="573">
        <v>626646.74</v>
      </c>
      <c r="D18" s="573">
        <v>66677.97</v>
      </c>
      <c r="E18" s="573">
        <v>541375.35</v>
      </c>
      <c r="F18" s="573">
        <v>60886.67</v>
      </c>
      <c r="G18" s="140">
        <f t="shared" si="1"/>
        <v>-85271.390000000014</v>
      </c>
      <c r="H18" s="141">
        <f t="shared" si="1"/>
        <v>-5791.3000000000029</v>
      </c>
    </row>
    <row r="19" spans="1:10" x14ac:dyDescent="0.25">
      <c r="A19" s="31">
        <f t="shared" si="0"/>
        <v>14</v>
      </c>
      <c r="B19" s="291" t="s">
        <v>964</v>
      </c>
      <c r="C19" s="559">
        <f>SUM(C20:C25)</f>
        <v>4888720.5000000009</v>
      </c>
      <c r="D19" s="559">
        <f>SUM(D20:D25)</f>
        <v>530446.76</v>
      </c>
      <c r="E19" s="559">
        <f>SUM(E20:E25)</f>
        <v>4906230.3199999994</v>
      </c>
      <c r="F19" s="559">
        <f>SUM(F20:F25)</f>
        <v>466985.72000000003</v>
      </c>
      <c r="G19" s="57">
        <f t="shared" si="1"/>
        <v>17509.819999998435</v>
      </c>
      <c r="H19" s="136">
        <f t="shared" si="1"/>
        <v>-63461.039999999979</v>
      </c>
      <c r="J19" s="676"/>
    </row>
    <row r="20" spans="1:10" x14ac:dyDescent="0.25">
      <c r="A20" s="31">
        <f t="shared" si="0"/>
        <v>15</v>
      </c>
      <c r="B20" s="289" t="s">
        <v>764</v>
      </c>
      <c r="C20" s="573">
        <v>1877756.47</v>
      </c>
      <c r="D20" s="573">
        <v>183915.82</v>
      </c>
      <c r="E20" s="573">
        <v>1746700.77</v>
      </c>
      <c r="F20" s="573">
        <v>97720.639999999999</v>
      </c>
      <c r="G20" s="140">
        <f t="shared" si="1"/>
        <v>-131055.69999999995</v>
      </c>
      <c r="H20" s="141">
        <f t="shared" si="1"/>
        <v>-86195.180000000008</v>
      </c>
    </row>
    <row r="21" spans="1:10" x14ac:dyDescent="0.25">
      <c r="A21" s="31">
        <f t="shared" si="0"/>
        <v>16</v>
      </c>
      <c r="B21" s="289" t="s">
        <v>765</v>
      </c>
      <c r="C21" s="573">
        <v>2674255.64</v>
      </c>
      <c r="D21" s="573">
        <v>164238.41</v>
      </c>
      <c r="E21" s="573">
        <v>2842481.44</v>
      </c>
      <c r="F21" s="573">
        <v>211508</v>
      </c>
      <c r="G21" s="140">
        <f t="shared" si="1"/>
        <v>168225.79999999981</v>
      </c>
      <c r="H21" s="141">
        <f t="shared" si="1"/>
        <v>47269.59</v>
      </c>
    </row>
    <row r="22" spans="1:10" x14ac:dyDescent="0.25">
      <c r="A22" s="31">
        <f t="shared" si="0"/>
        <v>17</v>
      </c>
      <c r="B22" s="289" t="s">
        <v>766</v>
      </c>
      <c r="C22" s="573">
        <v>263996.86</v>
      </c>
      <c r="D22" s="573">
        <v>57842.49</v>
      </c>
      <c r="E22" s="573">
        <v>254269.06</v>
      </c>
      <c r="F22" s="573">
        <v>42730.01</v>
      </c>
      <c r="G22" s="140">
        <f t="shared" si="1"/>
        <v>-9727.7999999999884</v>
      </c>
      <c r="H22" s="141">
        <f t="shared" si="1"/>
        <v>-15112.479999999996</v>
      </c>
    </row>
    <row r="23" spans="1:10" x14ac:dyDescent="0.25">
      <c r="A23" s="31">
        <f t="shared" si="0"/>
        <v>18</v>
      </c>
      <c r="B23" s="289" t="s">
        <v>767</v>
      </c>
      <c r="C23" s="573">
        <v>72630.16</v>
      </c>
      <c r="D23" s="573">
        <v>124450.04</v>
      </c>
      <c r="E23" s="573">
        <v>62630.34</v>
      </c>
      <c r="F23" s="573">
        <v>114895.44</v>
      </c>
      <c r="G23" s="140">
        <f t="shared" si="1"/>
        <v>-9999.820000000007</v>
      </c>
      <c r="H23" s="141">
        <f t="shared" si="1"/>
        <v>-9554.5999999999913</v>
      </c>
    </row>
    <row r="24" spans="1:10" x14ac:dyDescent="0.25">
      <c r="A24" s="31">
        <f t="shared" si="0"/>
        <v>19</v>
      </c>
      <c r="B24" s="289" t="s">
        <v>768</v>
      </c>
      <c r="C24" s="573">
        <v>63.37</v>
      </c>
      <c r="D24" s="573">
        <v>0</v>
      </c>
      <c r="E24" s="573">
        <v>148.71</v>
      </c>
      <c r="F24" s="573">
        <v>0</v>
      </c>
      <c r="G24" s="140">
        <f t="shared" si="1"/>
        <v>85.34</v>
      </c>
      <c r="H24" s="141">
        <f t="shared" si="1"/>
        <v>0</v>
      </c>
    </row>
    <row r="25" spans="1:10" x14ac:dyDescent="0.25">
      <c r="A25" s="31">
        <f t="shared" si="0"/>
        <v>20</v>
      </c>
      <c r="B25" s="289" t="s">
        <v>856</v>
      </c>
      <c r="C25" s="573">
        <v>18</v>
      </c>
      <c r="D25" s="573">
        <v>0</v>
      </c>
      <c r="E25" s="573">
        <v>0</v>
      </c>
      <c r="F25" s="573">
        <v>131.63</v>
      </c>
      <c r="G25" s="140">
        <f t="shared" si="1"/>
        <v>-18</v>
      </c>
      <c r="H25" s="141">
        <f t="shared" si="1"/>
        <v>131.63</v>
      </c>
    </row>
    <row r="26" spans="1:10" x14ac:dyDescent="0.25">
      <c r="A26" s="31">
        <f t="shared" si="0"/>
        <v>21</v>
      </c>
      <c r="B26" s="291" t="s">
        <v>295</v>
      </c>
      <c r="C26" s="576" t="s">
        <v>285</v>
      </c>
      <c r="D26" s="576" t="s">
        <v>285</v>
      </c>
      <c r="E26" s="576" t="s">
        <v>285</v>
      </c>
      <c r="F26" s="576" t="s">
        <v>285</v>
      </c>
      <c r="G26" s="61" t="s">
        <v>147</v>
      </c>
      <c r="H26" s="137" t="s">
        <v>147</v>
      </c>
    </row>
    <row r="27" spans="1:10" x14ac:dyDescent="0.25">
      <c r="A27" s="31">
        <f t="shared" si="0"/>
        <v>22</v>
      </c>
      <c r="B27" s="291" t="s">
        <v>965</v>
      </c>
      <c r="C27" s="559">
        <f>SUM(C28:C31)</f>
        <v>0</v>
      </c>
      <c r="D27" s="559">
        <f>SUM(D28:D31)</f>
        <v>50207.32</v>
      </c>
      <c r="E27" s="559">
        <f>SUM(E28:E31)</f>
        <v>0</v>
      </c>
      <c r="F27" s="559">
        <f>SUM(F28:F31)</f>
        <v>46050.67</v>
      </c>
      <c r="G27" s="57">
        <f t="shared" si="1"/>
        <v>0</v>
      </c>
      <c r="H27" s="136">
        <f t="shared" si="1"/>
        <v>-4156.6500000000015</v>
      </c>
    </row>
    <row r="28" spans="1:10" x14ac:dyDescent="0.25">
      <c r="A28" s="31">
        <f t="shared" si="0"/>
        <v>23</v>
      </c>
      <c r="B28" s="289" t="s">
        <v>249</v>
      </c>
      <c r="C28" s="573">
        <v>0</v>
      </c>
      <c r="D28" s="573">
        <v>0</v>
      </c>
      <c r="E28" s="573">
        <v>0</v>
      </c>
      <c r="F28" s="573">
        <v>0</v>
      </c>
      <c r="G28" s="140">
        <f t="shared" si="1"/>
        <v>0</v>
      </c>
      <c r="H28" s="141">
        <f t="shared" si="1"/>
        <v>0</v>
      </c>
    </row>
    <row r="29" spans="1:10" x14ac:dyDescent="0.25">
      <c r="A29" s="31">
        <f t="shared" si="0"/>
        <v>24</v>
      </c>
      <c r="B29" s="292" t="s">
        <v>273</v>
      </c>
      <c r="C29" s="573">
        <v>0</v>
      </c>
      <c r="D29" s="573">
        <v>0</v>
      </c>
      <c r="E29" s="573">
        <v>0</v>
      </c>
      <c r="F29" s="573">
        <v>0</v>
      </c>
      <c r="G29" s="140">
        <f t="shared" si="1"/>
        <v>0</v>
      </c>
      <c r="H29" s="141">
        <f t="shared" si="1"/>
        <v>0</v>
      </c>
    </row>
    <row r="30" spans="1:10" x14ac:dyDescent="0.25">
      <c r="A30" s="31">
        <f t="shared" si="0"/>
        <v>25</v>
      </c>
      <c r="B30" s="292" t="s">
        <v>54</v>
      </c>
      <c r="C30" s="573">
        <v>0</v>
      </c>
      <c r="D30" s="573">
        <v>0</v>
      </c>
      <c r="E30" s="573">
        <v>0</v>
      </c>
      <c r="F30" s="573">
        <v>0</v>
      </c>
      <c r="G30" s="140">
        <f t="shared" si="1"/>
        <v>0</v>
      </c>
      <c r="H30" s="141">
        <f t="shared" si="1"/>
        <v>0</v>
      </c>
    </row>
    <row r="31" spans="1:10" x14ac:dyDescent="0.25">
      <c r="A31" s="31">
        <f t="shared" si="0"/>
        <v>26</v>
      </c>
      <c r="B31" s="289" t="s">
        <v>55</v>
      </c>
      <c r="C31" s="573">
        <v>0</v>
      </c>
      <c r="D31" s="573">
        <v>50207.32</v>
      </c>
      <c r="E31" s="573">
        <v>0</v>
      </c>
      <c r="F31" s="573">
        <v>46050.67</v>
      </c>
      <c r="G31" s="140">
        <f t="shared" si="1"/>
        <v>0</v>
      </c>
      <c r="H31" s="141">
        <f t="shared" si="1"/>
        <v>-4156.6500000000015</v>
      </c>
    </row>
    <row r="32" spans="1:10" x14ac:dyDescent="0.25">
      <c r="A32" s="31">
        <f t="shared" si="0"/>
        <v>27</v>
      </c>
      <c r="B32" s="291" t="s">
        <v>966</v>
      </c>
      <c r="C32" s="559">
        <f>SUM(C33:C39)</f>
        <v>3277461.59</v>
      </c>
      <c r="D32" s="559">
        <f>SUM(D33:D39)</f>
        <v>246708.82999999996</v>
      </c>
      <c r="E32" s="559">
        <f>SUM(E33:E39)</f>
        <v>2151603.52</v>
      </c>
      <c r="F32" s="559">
        <f>SUM(F33:F39)</f>
        <v>244931.32</v>
      </c>
      <c r="G32" s="57">
        <f t="shared" si="1"/>
        <v>-1125858.0699999998</v>
      </c>
      <c r="H32" s="136">
        <f t="shared" si="1"/>
        <v>-1777.5099999999511</v>
      </c>
    </row>
    <row r="33" spans="1:8" x14ac:dyDescent="0.25">
      <c r="A33" s="31">
        <f t="shared" si="0"/>
        <v>28</v>
      </c>
      <c r="B33" s="289" t="s">
        <v>106</v>
      </c>
      <c r="C33" s="573">
        <v>1990508.97</v>
      </c>
      <c r="D33" s="573">
        <v>90889.74</v>
      </c>
      <c r="E33" s="573">
        <v>1132336.1399999999</v>
      </c>
      <c r="F33" s="573">
        <v>141195.1</v>
      </c>
      <c r="G33" s="140">
        <f t="shared" si="1"/>
        <v>-858172.83000000007</v>
      </c>
      <c r="H33" s="141">
        <f t="shared" si="1"/>
        <v>50305.36</v>
      </c>
    </row>
    <row r="34" spans="1:8" x14ac:dyDescent="0.25">
      <c r="A34" s="31">
        <f t="shared" si="0"/>
        <v>29</v>
      </c>
      <c r="B34" s="289" t="s">
        <v>107</v>
      </c>
      <c r="C34" s="573">
        <v>492214.6</v>
      </c>
      <c r="D34" s="573">
        <v>61141.14</v>
      </c>
      <c r="E34" s="573">
        <v>501120.39</v>
      </c>
      <c r="F34" s="573">
        <v>43557.97</v>
      </c>
      <c r="G34" s="140">
        <f t="shared" si="1"/>
        <v>8905.7900000000373</v>
      </c>
      <c r="H34" s="141">
        <f t="shared" si="1"/>
        <v>-17583.169999999998</v>
      </c>
    </row>
    <row r="35" spans="1:8" x14ac:dyDescent="0.25">
      <c r="A35" s="31">
        <f t="shared" si="0"/>
        <v>30</v>
      </c>
      <c r="B35" s="289" t="s">
        <v>108</v>
      </c>
      <c r="C35" s="573">
        <v>33347.64</v>
      </c>
      <c r="D35" s="573">
        <v>6342.49</v>
      </c>
      <c r="E35" s="573">
        <v>23878.85</v>
      </c>
      <c r="F35" s="573">
        <v>2870.19</v>
      </c>
      <c r="G35" s="140">
        <f t="shared" si="1"/>
        <v>-9468.7900000000009</v>
      </c>
      <c r="H35" s="141">
        <f t="shared" si="1"/>
        <v>-3472.2999999999997</v>
      </c>
    </row>
    <row r="36" spans="1:8" x14ac:dyDescent="0.25">
      <c r="A36" s="31">
        <f t="shared" si="0"/>
        <v>31</v>
      </c>
      <c r="B36" s="289" t="s">
        <v>109</v>
      </c>
      <c r="C36" s="573">
        <v>45652.52</v>
      </c>
      <c r="D36" s="573">
        <v>11986.58</v>
      </c>
      <c r="E36" s="573">
        <v>39520.54</v>
      </c>
      <c r="F36" s="573">
        <v>11347.49</v>
      </c>
      <c r="G36" s="140">
        <f t="shared" si="1"/>
        <v>-6131.9799999999959</v>
      </c>
      <c r="H36" s="141">
        <f t="shared" si="1"/>
        <v>-639.09000000000015</v>
      </c>
    </row>
    <row r="37" spans="1:8" x14ac:dyDescent="0.25">
      <c r="A37" s="31">
        <f t="shared" si="0"/>
        <v>32</v>
      </c>
      <c r="B37" s="294" t="s">
        <v>110</v>
      </c>
      <c r="C37" s="573">
        <v>4203.3100000000004</v>
      </c>
      <c r="D37" s="573">
        <v>576.72</v>
      </c>
      <c r="E37" s="573">
        <v>61976.56</v>
      </c>
      <c r="F37" s="573">
        <v>406.09</v>
      </c>
      <c r="G37" s="140">
        <f t="shared" si="1"/>
        <v>57773.25</v>
      </c>
      <c r="H37" s="141">
        <f t="shared" si="1"/>
        <v>-170.63000000000005</v>
      </c>
    </row>
    <row r="38" spans="1:8" x14ac:dyDescent="0.25">
      <c r="A38" s="31">
        <f t="shared" si="0"/>
        <v>33</v>
      </c>
      <c r="B38" s="289" t="s">
        <v>804</v>
      </c>
      <c r="C38" s="573">
        <v>244684.26</v>
      </c>
      <c r="D38" s="573">
        <v>19623.05</v>
      </c>
      <c r="E38" s="573">
        <v>240498.05</v>
      </c>
      <c r="F38" s="573">
        <v>8004.93</v>
      </c>
      <c r="G38" s="140">
        <f t="shared" si="1"/>
        <v>-4186.210000000021</v>
      </c>
      <c r="H38" s="141">
        <f t="shared" si="1"/>
        <v>-11618.119999999999</v>
      </c>
    </row>
    <row r="39" spans="1:8" x14ac:dyDescent="0.25">
      <c r="A39" s="31">
        <f t="shared" si="0"/>
        <v>34</v>
      </c>
      <c r="B39" s="289" t="s">
        <v>111</v>
      </c>
      <c r="C39" s="573">
        <v>466850.29</v>
      </c>
      <c r="D39" s="573">
        <v>56149.11</v>
      </c>
      <c r="E39" s="573">
        <v>152272.99</v>
      </c>
      <c r="F39" s="573">
        <v>37549.550000000003</v>
      </c>
      <c r="G39" s="140">
        <f t="shared" si="1"/>
        <v>-314577.3</v>
      </c>
      <c r="H39" s="141">
        <f t="shared" si="1"/>
        <v>-18599.559999999998</v>
      </c>
    </row>
    <row r="40" spans="1:8" x14ac:dyDescent="0.25">
      <c r="A40" s="31">
        <f t="shared" si="0"/>
        <v>35</v>
      </c>
      <c r="B40" s="291" t="s">
        <v>967</v>
      </c>
      <c r="C40" s="559">
        <f>C41+C42</f>
        <v>1021165.16</v>
      </c>
      <c r="D40" s="559">
        <f>D41+D42</f>
        <v>88647.95</v>
      </c>
      <c r="E40" s="559">
        <f>E41+E42</f>
        <v>1072494.3</v>
      </c>
      <c r="F40" s="559">
        <f>F41+F42</f>
        <v>102703.85</v>
      </c>
      <c r="G40" s="57">
        <f t="shared" si="1"/>
        <v>51329.140000000014</v>
      </c>
      <c r="H40" s="136">
        <f t="shared" si="1"/>
        <v>14055.900000000009</v>
      </c>
    </row>
    <row r="41" spans="1:8" x14ac:dyDescent="0.25">
      <c r="A41" s="31">
        <f t="shared" si="0"/>
        <v>36</v>
      </c>
      <c r="B41" s="289" t="s">
        <v>769</v>
      </c>
      <c r="C41" s="573">
        <v>155561.60999999999</v>
      </c>
      <c r="D41" s="573">
        <v>55187.6</v>
      </c>
      <c r="E41" s="573">
        <v>180471.9</v>
      </c>
      <c r="F41" s="573">
        <v>63734.69</v>
      </c>
      <c r="G41" s="140">
        <f t="shared" si="1"/>
        <v>24910.290000000008</v>
      </c>
      <c r="H41" s="141">
        <f t="shared" si="1"/>
        <v>8547.0900000000038</v>
      </c>
    </row>
    <row r="42" spans="1:8" x14ac:dyDescent="0.25">
      <c r="A42" s="31">
        <f t="shared" si="0"/>
        <v>37</v>
      </c>
      <c r="B42" s="289" t="s">
        <v>900</v>
      </c>
      <c r="C42" s="573">
        <v>865603.55</v>
      </c>
      <c r="D42" s="573">
        <v>33460.35</v>
      </c>
      <c r="E42" s="573">
        <v>892022.4</v>
      </c>
      <c r="F42" s="573">
        <v>38969.160000000003</v>
      </c>
      <c r="G42" s="140">
        <f t="shared" si="1"/>
        <v>26418.849999999977</v>
      </c>
      <c r="H42" s="141">
        <f t="shared" si="1"/>
        <v>5508.8100000000049</v>
      </c>
    </row>
    <row r="43" spans="1:8" x14ac:dyDescent="0.25">
      <c r="A43" s="31">
        <f t="shared" si="0"/>
        <v>38</v>
      </c>
      <c r="B43" s="291" t="s">
        <v>296</v>
      </c>
      <c r="C43" s="577">
        <v>136745.01999999999</v>
      </c>
      <c r="D43" s="577">
        <v>13984.71</v>
      </c>
      <c r="E43" s="577">
        <v>157261.99</v>
      </c>
      <c r="F43" s="577">
        <v>19878.34</v>
      </c>
      <c r="G43" s="140">
        <f t="shared" si="1"/>
        <v>20516.97</v>
      </c>
      <c r="H43" s="141">
        <f t="shared" si="1"/>
        <v>5893.630000000001</v>
      </c>
    </row>
    <row r="44" spans="1:8" x14ac:dyDescent="0.25">
      <c r="A44" s="31">
        <f t="shared" si="0"/>
        <v>39</v>
      </c>
      <c r="B44" s="291" t="s">
        <v>968</v>
      </c>
      <c r="C44" s="559">
        <f>SUM(C45:C59)</f>
        <v>5065912.55</v>
      </c>
      <c r="D44" s="559">
        <f>SUM(D45:D59)</f>
        <v>1206798.1499999999</v>
      </c>
      <c r="E44" s="559">
        <f>SUM(E45:E59)</f>
        <v>5356100.9000000004</v>
      </c>
      <c r="F44" s="559">
        <f>SUM(F45:F59)</f>
        <v>1010426.72</v>
      </c>
      <c r="G44" s="57">
        <f t="shared" si="1"/>
        <v>290188.35000000056</v>
      </c>
      <c r="H44" s="136">
        <f t="shared" si="1"/>
        <v>-196371.42999999993</v>
      </c>
    </row>
    <row r="45" spans="1:8" x14ac:dyDescent="0.25">
      <c r="A45" s="31">
        <f t="shared" si="0"/>
        <v>40</v>
      </c>
      <c r="B45" s="289" t="s">
        <v>113</v>
      </c>
      <c r="C45" s="573">
        <v>61657.29</v>
      </c>
      <c r="D45" s="573">
        <v>632.97</v>
      </c>
      <c r="E45" s="573">
        <v>60546.93</v>
      </c>
      <c r="F45" s="573">
        <v>10659.93</v>
      </c>
      <c r="G45" s="140">
        <f t="shared" si="1"/>
        <v>-1110.3600000000006</v>
      </c>
      <c r="H45" s="141">
        <f t="shared" si="1"/>
        <v>10026.960000000001</v>
      </c>
    </row>
    <row r="46" spans="1:8" x14ac:dyDescent="0.25">
      <c r="A46" s="31">
        <f t="shared" si="0"/>
        <v>41</v>
      </c>
      <c r="B46" s="289" t="s">
        <v>112</v>
      </c>
      <c r="C46" s="573">
        <v>78720.070000000007</v>
      </c>
      <c r="D46" s="573">
        <v>13638.94</v>
      </c>
      <c r="E46" s="573">
        <v>77518.45</v>
      </c>
      <c r="F46" s="573">
        <v>6694.54</v>
      </c>
      <c r="G46" s="140">
        <f t="shared" si="1"/>
        <v>-1201.6200000000099</v>
      </c>
      <c r="H46" s="141">
        <f t="shared" si="1"/>
        <v>-6944.4000000000005</v>
      </c>
    </row>
    <row r="47" spans="1:8" x14ac:dyDescent="0.25">
      <c r="A47" s="31">
        <f t="shared" si="0"/>
        <v>42</v>
      </c>
      <c r="B47" s="289" t="s">
        <v>976</v>
      </c>
      <c r="C47" s="573">
        <v>665646.31999999995</v>
      </c>
      <c r="D47" s="573">
        <v>88638.05</v>
      </c>
      <c r="E47" s="573">
        <v>651421.13</v>
      </c>
      <c r="F47" s="573">
        <v>38543.46</v>
      </c>
      <c r="G47" s="140">
        <f t="shared" si="1"/>
        <v>-14225.189999999944</v>
      </c>
      <c r="H47" s="141">
        <f t="shared" si="1"/>
        <v>-50094.590000000004</v>
      </c>
    </row>
    <row r="48" spans="1:8" x14ac:dyDescent="0.25">
      <c r="A48" s="31">
        <f t="shared" si="0"/>
        <v>43</v>
      </c>
      <c r="B48" s="289" t="s">
        <v>114</v>
      </c>
      <c r="C48" s="573">
        <v>87478.6</v>
      </c>
      <c r="D48" s="573">
        <v>5675.9</v>
      </c>
      <c r="E48" s="573">
        <v>58967.8</v>
      </c>
      <c r="F48" s="573">
        <v>2184.4699999999998</v>
      </c>
      <c r="G48" s="140">
        <f t="shared" si="1"/>
        <v>-28510.800000000003</v>
      </c>
      <c r="H48" s="141">
        <f t="shared" si="1"/>
        <v>-3491.43</v>
      </c>
    </row>
    <row r="49" spans="1:12" x14ac:dyDescent="0.25">
      <c r="A49" s="31">
        <f t="shared" si="0"/>
        <v>44</v>
      </c>
      <c r="B49" s="289" t="s">
        <v>770</v>
      </c>
      <c r="C49" s="573">
        <v>131868.21</v>
      </c>
      <c r="D49" s="573">
        <v>32033.38</v>
      </c>
      <c r="E49" s="573">
        <v>133715.07</v>
      </c>
      <c r="F49" s="573">
        <v>20996.69</v>
      </c>
      <c r="G49" s="140">
        <f t="shared" si="1"/>
        <v>1846.8600000000151</v>
      </c>
      <c r="H49" s="141">
        <f t="shared" si="1"/>
        <v>-11036.690000000002</v>
      </c>
    </row>
    <row r="50" spans="1:12" x14ac:dyDescent="0.25">
      <c r="A50" s="31">
        <f t="shared" si="0"/>
        <v>45</v>
      </c>
      <c r="B50" s="289" t="s">
        <v>115</v>
      </c>
      <c r="C50" s="573">
        <v>66929.899999999994</v>
      </c>
      <c r="D50" s="573">
        <v>261854.01</v>
      </c>
      <c r="E50" s="573">
        <v>89602.79</v>
      </c>
      <c r="F50" s="573">
        <v>27373.360000000001</v>
      </c>
      <c r="G50" s="140">
        <f t="shared" si="1"/>
        <v>22672.89</v>
      </c>
      <c r="H50" s="141">
        <f t="shared" si="1"/>
        <v>-234480.65000000002</v>
      </c>
    </row>
    <row r="51" spans="1:12" x14ac:dyDescent="0.25">
      <c r="A51" s="31">
        <f t="shared" si="0"/>
        <v>46</v>
      </c>
      <c r="B51" s="289" t="s">
        <v>771</v>
      </c>
      <c r="C51" s="573">
        <v>44107.53</v>
      </c>
      <c r="D51" s="573">
        <v>13664.1</v>
      </c>
      <c r="E51" s="573">
        <v>54720.71</v>
      </c>
      <c r="F51" s="573">
        <v>7961.17</v>
      </c>
      <c r="G51" s="140">
        <f t="shared" si="1"/>
        <v>10613.18</v>
      </c>
      <c r="H51" s="141">
        <f t="shared" si="1"/>
        <v>-5702.93</v>
      </c>
    </row>
    <row r="52" spans="1:12" x14ac:dyDescent="0.25">
      <c r="A52" s="31">
        <f t="shared" si="0"/>
        <v>47</v>
      </c>
      <c r="B52" s="289" t="s">
        <v>772</v>
      </c>
      <c r="C52" s="573">
        <v>46756.78</v>
      </c>
      <c r="D52" s="573">
        <v>6776.24</v>
      </c>
      <c r="E52" s="573">
        <v>76094.320000000007</v>
      </c>
      <c r="F52" s="573">
        <v>9498.2999999999993</v>
      </c>
      <c r="G52" s="140">
        <f t="shared" si="1"/>
        <v>29337.540000000008</v>
      </c>
      <c r="H52" s="141">
        <f t="shared" si="1"/>
        <v>2722.0599999999995</v>
      </c>
    </row>
    <row r="53" spans="1:12" x14ac:dyDescent="0.25">
      <c r="A53" s="31">
        <f t="shared" si="0"/>
        <v>48</v>
      </c>
      <c r="B53" s="289" t="s">
        <v>116</v>
      </c>
      <c r="C53" s="573">
        <v>186427.28</v>
      </c>
      <c r="D53" s="573">
        <v>24849.09</v>
      </c>
      <c r="E53" s="573">
        <v>191769.45</v>
      </c>
      <c r="F53" s="573">
        <v>24616.99</v>
      </c>
      <c r="G53" s="140">
        <f t="shared" si="1"/>
        <v>5342.1700000000128</v>
      </c>
      <c r="H53" s="141">
        <f t="shared" si="1"/>
        <v>-232.09999999999854</v>
      </c>
    </row>
    <row r="54" spans="1:12" x14ac:dyDescent="0.25">
      <c r="A54" s="31">
        <f t="shared" si="0"/>
        <v>49</v>
      </c>
      <c r="B54" s="289" t="s">
        <v>117</v>
      </c>
      <c r="C54" s="573">
        <v>8054.61</v>
      </c>
      <c r="D54" s="573">
        <v>123.94</v>
      </c>
      <c r="E54" s="573">
        <v>11068.47</v>
      </c>
      <c r="F54" s="573">
        <v>2008.87</v>
      </c>
      <c r="G54" s="140">
        <f t="shared" si="1"/>
        <v>3013.8599999999997</v>
      </c>
      <c r="H54" s="141">
        <f t="shared" si="1"/>
        <v>1884.9299999999998</v>
      </c>
    </row>
    <row r="55" spans="1:12" x14ac:dyDescent="0.25">
      <c r="A55" s="31">
        <f t="shared" si="0"/>
        <v>50</v>
      </c>
      <c r="B55" s="289" t="s">
        <v>857</v>
      </c>
      <c r="C55" s="573">
        <v>257895.03</v>
      </c>
      <c r="D55" s="573">
        <v>7768.43</v>
      </c>
      <c r="E55" s="573">
        <v>285556.93</v>
      </c>
      <c r="F55" s="573">
        <v>9661.3700000000008</v>
      </c>
      <c r="G55" s="140">
        <f t="shared" si="1"/>
        <v>27661.899999999994</v>
      </c>
      <c r="H55" s="141">
        <f t="shared" si="1"/>
        <v>1892.9400000000005</v>
      </c>
    </row>
    <row r="56" spans="1:12" x14ac:dyDescent="0.25">
      <c r="A56" s="31">
        <f t="shared" si="0"/>
        <v>51</v>
      </c>
      <c r="B56" s="289" t="s">
        <v>91</v>
      </c>
      <c r="C56" s="573">
        <v>62114.13</v>
      </c>
      <c r="D56" s="573">
        <v>5450.44</v>
      </c>
      <c r="E56" s="573">
        <v>90165.56</v>
      </c>
      <c r="F56" s="573">
        <v>6903.2</v>
      </c>
      <c r="G56" s="140">
        <f t="shared" si="1"/>
        <v>28051.43</v>
      </c>
      <c r="H56" s="141">
        <f t="shared" si="1"/>
        <v>1452.7600000000002</v>
      </c>
    </row>
    <row r="57" spans="1:12" x14ac:dyDescent="0.25">
      <c r="A57" s="31">
        <f t="shared" si="0"/>
        <v>52</v>
      </c>
      <c r="B57" s="289" t="s">
        <v>92</v>
      </c>
      <c r="C57" s="573">
        <v>2331.5</v>
      </c>
      <c r="D57" s="573">
        <v>0</v>
      </c>
      <c r="E57" s="573">
        <v>13.06</v>
      </c>
      <c r="F57" s="573">
        <v>1520</v>
      </c>
      <c r="G57" s="140">
        <f t="shared" si="1"/>
        <v>-2318.44</v>
      </c>
      <c r="H57" s="141">
        <f t="shared" si="1"/>
        <v>1520</v>
      </c>
    </row>
    <row r="58" spans="1:12" ht="47.25" x14ac:dyDescent="0.25">
      <c r="A58" s="31">
        <f t="shared" si="0"/>
        <v>53</v>
      </c>
      <c r="B58" s="289" t="s">
        <v>941</v>
      </c>
      <c r="C58" s="573">
        <v>2027827.81</v>
      </c>
      <c r="D58" s="573">
        <v>484985.51</v>
      </c>
      <c r="E58" s="573">
        <v>2232403.87</v>
      </c>
      <c r="F58" s="573">
        <v>482937.73</v>
      </c>
      <c r="G58" s="140">
        <f t="shared" si="1"/>
        <v>204576.06000000006</v>
      </c>
      <c r="H58" s="141">
        <f t="shared" si="1"/>
        <v>-2047.7800000000279</v>
      </c>
      <c r="J58" s="950"/>
      <c r="K58" s="950"/>
      <c r="L58" s="950"/>
    </row>
    <row r="59" spans="1:12" x14ac:dyDescent="0.25">
      <c r="A59" s="31">
        <f t="shared" si="0"/>
        <v>54</v>
      </c>
      <c r="B59" s="289" t="s">
        <v>934</v>
      </c>
      <c r="C59" s="573">
        <v>1338097.49</v>
      </c>
      <c r="D59" s="573">
        <v>260707.15</v>
      </c>
      <c r="E59" s="573">
        <v>1342536.36</v>
      </c>
      <c r="F59" s="573">
        <v>358866.64</v>
      </c>
      <c r="G59" s="140">
        <f t="shared" si="1"/>
        <v>4438.8700000001118</v>
      </c>
      <c r="H59" s="141">
        <f t="shared" si="1"/>
        <v>98159.49000000002</v>
      </c>
    </row>
    <row r="60" spans="1:12" x14ac:dyDescent="0.25">
      <c r="A60" s="31">
        <f t="shared" si="0"/>
        <v>55</v>
      </c>
      <c r="B60" s="291" t="s">
        <v>969</v>
      </c>
      <c r="C60" s="559">
        <f>C61+C62</f>
        <v>36290079.619999997</v>
      </c>
      <c r="D60" s="559">
        <f>D61+D62</f>
        <v>3115301.49</v>
      </c>
      <c r="E60" s="559">
        <f>E61+E62</f>
        <v>39809159.329999998</v>
      </c>
      <c r="F60" s="559">
        <f>F61+F62</f>
        <v>3781468.3699999996</v>
      </c>
      <c r="G60" s="57">
        <f t="shared" si="1"/>
        <v>3519079.7100000009</v>
      </c>
      <c r="H60" s="136">
        <f t="shared" si="1"/>
        <v>666166.87999999942</v>
      </c>
    </row>
    <row r="61" spans="1:12" x14ac:dyDescent="0.25">
      <c r="A61" s="31">
        <f t="shared" si="0"/>
        <v>56</v>
      </c>
      <c r="B61" s="289" t="s">
        <v>970</v>
      </c>
      <c r="C61" s="573">
        <v>35481329.25</v>
      </c>
      <c r="D61" s="573">
        <v>2611605.91</v>
      </c>
      <c r="E61" s="573">
        <v>38893143.359999999</v>
      </c>
      <c r="F61" s="573">
        <v>3347160.51</v>
      </c>
      <c r="G61" s="140">
        <f t="shared" si="1"/>
        <v>3411814.1099999994</v>
      </c>
      <c r="H61" s="141">
        <f t="shared" si="1"/>
        <v>735554.59999999963</v>
      </c>
      <c r="I61" s="583"/>
    </row>
    <row r="62" spans="1:12" x14ac:dyDescent="0.25">
      <c r="A62" s="31">
        <f t="shared" si="0"/>
        <v>57</v>
      </c>
      <c r="B62" s="291" t="s">
        <v>971</v>
      </c>
      <c r="C62" s="559">
        <f>SUM(C63:C65)</f>
        <v>808750.37</v>
      </c>
      <c r="D62" s="559">
        <f>SUM(D63:D65)</f>
        <v>503695.58</v>
      </c>
      <c r="E62" s="559">
        <f>SUM(E63:E65)</f>
        <v>916015.97</v>
      </c>
      <c r="F62" s="559">
        <f>SUM(F63:F65)</f>
        <v>434307.86</v>
      </c>
      <c r="G62" s="57">
        <f t="shared" si="1"/>
        <v>107265.59999999998</v>
      </c>
      <c r="H62" s="136">
        <f t="shared" si="1"/>
        <v>-69387.72000000003</v>
      </c>
    </row>
    <row r="63" spans="1:12" s="131" customFormat="1" x14ac:dyDescent="0.2">
      <c r="A63" s="31">
        <f t="shared" si="0"/>
        <v>58</v>
      </c>
      <c r="B63" s="295" t="s">
        <v>13</v>
      </c>
      <c r="C63" s="578">
        <v>723775.99</v>
      </c>
      <c r="D63" s="578">
        <v>438998.59</v>
      </c>
      <c r="E63" s="578">
        <v>768201.48</v>
      </c>
      <c r="F63" s="578">
        <v>353620.91</v>
      </c>
      <c r="G63" s="140">
        <f t="shared" si="1"/>
        <v>44425.489999999991</v>
      </c>
      <c r="H63" s="141">
        <f t="shared" si="1"/>
        <v>-85377.680000000051</v>
      </c>
      <c r="I63" s="481"/>
    </row>
    <row r="64" spans="1:12" ht="31.5" x14ac:dyDescent="0.25">
      <c r="A64" s="31">
        <f t="shared" si="0"/>
        <v>59</v>
      </c>
      <c r="B64" s="295" t="s">
        <v>14</v>
      </c>
      <c r="C64" s="573">
        <v>50816.98</v>
      </c>
      <c r="D64" s="573">
        <v>21560.53</v>
      </c>
      <c r="E64" s="573">
        <v>61710.65</v>
      </c>
      <c r="F64" s="573">
        <v>23861.200000000001</v>
      </c>
      <c r="G64" s="140">
        <f t="shared" si="1"/>
        <v>10893.669999999998</v>
      </c>
      <c r="H64" s="141">
        <f t="shared" si="1"/>
        <v>2300.6700000000019</v>
      </c>
    </row>
    <row r="65" spans="1:11" x14ac:dyDescent="0.25">
      <c r="A65" s="31">
        <f t="shared" si="0"/>
        <v>60</v>
      </c>
      <c r="B65" s="289" t="s">
        <v>218</v>
      </c>
      <c r="C65" s="573">
        <v>34157.4</v>
      </c>
      <c r="D65" s="573">
        <v>43136.46</v>
      </c>
      <c r="E65" s="573">
        <v>86103.84</v>
      </c>
      <c r="F65" s="573">
        <v>56825.75</v>
      </c>
      <c r="G65" s="140">
        <f t="shared" si="1"/>
        <v>51946.439999999995</v>
      </c>
      <c r="H65" s="141">
        <f t="shared" si="1"/>
        <v>13689.29</v>
      </c>
    </row>
    <row r="66" spans="1:11" x14ac:dyDescent="0.25">
      <c r="A66" s="31">
        <f t="shared" si="0"/>
        <v>61</v>
      </c>
      <c r="B66" s="291" t="s">
        <v>157</v>
      </c>
      <c r="C66" s="573">
        <v>12371547.52</v>
      </c>
      <c r="D66" s="573">
        <v>1008746.06</v>
      </c>
      <c r="E66" s="573">
        <v>13618421.960000001</v>
      </c>
      <c r="F66" s="573">
        <v>1214987.71</v>
      </c>
      <c r="G66" s="140">
        <f t="shared" si="1"/>
        <v>1246874.4400000013</v>
      </c>
      <c r="H66" s="141">
        <f t="shared" si="1"/>
        <v>206241.64999999991</v>
      </c>
    </row>
    <row r="67" spans="1:11" x14ac:dyDescent="0.25">
      <c r="A67" s="31">
        <f t="shared" si="0"/>
        <v>62</v>
      </c>
      <c r="B67" s="291" t="s">
        <v>28</v>
      </c>
      <c r="C67" s="573">
        <v>290507.21000000002</v>
      </c>
      <c r="D67" s="573">
        <v>6845.06</v>
      </c>
      <c r="E67" s="573">
        <v>320580.78999999998</v>
      </c>
      <c r="F67" s="573">
        <v>6383.15</v>
      </c>
      <c r="G67" s="140">
        <f t="shared" si="1"/>
        <v>30073.579999999958</v>
      </c>
      <c r="H67" s="141">
        <f t="shared" si="1"/>
        <v>-461.91000000000076</v>
      </c>
    </row>
    <row r="68" spans="1:11" ht="18.75" customHeight="1" x14ac:dyDescent="0.25">
      <c r="A68" s="31">
        <f t="shared" si="0"/>
        <v>63</v>
      </c>
      <c r="B68" s="291" t="s">
        <v>972</v>
      </c>
      <c r="C68" s="559">
        <f>SUM(C69:C75)</f>
        <v>1323742.1300000001</v>
      </c>
      <c r="D68" s="559">
        <f>SUM(D69:D75)</f>
        <v>75202.880000000005</v>
      </c>
      <c r="E68" s="559">
        <f>SUM(E69:E75)</f>
        <v>1604758.8900000004</v>
      </c>
      <c r="F68" s="559">
        <f>SUM(F69:F75)</f>
        <v>78355.5</v>
      </c>
      <c r="G68" s="57">
        <f t="shared" si="1"/>
        <v>281016.76000000024</v>
      </c>
      <c r="H68" s="136">
        <f t="shared" si="1"/>
        <v>3152.6199999999953</v>
      </c>
    </row>
    <row r="69" spans="1:11" x14ac:dyDescent="0.25">
      <c r="A69" s="31">
        <f t="shared" si="0"/>
        <v>64</v>
      </c>
      <c r="B69" s="289" t="s">
        <v>79</v>
      </c>
      <c r="C69" s="573">
        <v>386378.35</v>
      </c>
      <c r="D69" s="573">
        <v>32826.29</v>
      </c>
      <c r="E69" s="573">
        <v>416005.38</v>
      </c>
      <c r="F69" s="573">
        <v>39684.879999999997</v>
      </c>
      <c r="G69" s="140">
        <f t="shared" si="1"/>
        <v>29627.030000000028</v>
      </c>
      <c r="H69" s="141">
        <f t="shared" si="1"/>
        <v>6858.5899999999965</v>
      </c>
    </row>
    <row r="70" spans="1:11" x14ac:dyDescent="0.25">
      <c r="A70" s="31">
        <f t="shared" si="0"/>
        <v>65</v>
      </c>
      <c r="B70" s="289" t="s">
        <v>910</v>
      </c>
      <c r="C70" s="573">
        <v>695797.75</v>
      </c>
      <c r="D70" s="573">
        <v>21206.54</v>
      </c>
      <c r="E70" s="573">
        <v>753660.74</v>
      </c>
      <c r="F70" s="573">
        <v>23084.6</v>
      </c>
      <c r="G70" s="140">
        <f t="shared" si="1"/>
        <v>57862.989999999991</v>
      </c>
      <c r="H70" s="141">
        <f t="shared" si="1"/>
        <v>1878.0599999999977</v>
      </c>
    </row>
    <row r="71" spans="1:11" x14ac:dyDescent="0.25">
      <c r="A71" s="31">
        <f t="shared" si="0"/>
        <v>66</v>
      </c>
      <c r="B71" s="289" t="s">
        <v>118</v>
      </c>
      <c r="C71" s="573">
        <v>136732.96</v>
      </c>
      <c r="D71" s="573">
        <v>14023.5</v>
      </c>
      <c r="E71" s="573">
        <v>205776.79</v>
      </c>
      <c r="F71" s="573">
        <v>6401.83</v>
      </c>
      <c r="G71" s="140">
        <f t="shared" si="1"/>
        <v>69043.830000000016</v>
      </c>
      <c r="H71" s="141">
        <f t="shared" si="1"/>
        <v>-7621.67</v>
      </c>
    </row>
    <row r="72" spans="1:11" x14ac:dyDescent="0.25">
      <c r="A72" s="31">
        <f t="shared" ref="A72:A103" si="2">A71+1</f>
        <v>67</v>
      </c>
      <c r="B72" s="289" t="s">
        <v>119</v>
      </c>
      <c r="C72" s="573">
        <v>97228.07</v>
      </c>
      <c r="D72" s="573">
        <v>6104.11</v>
      </c>
      <c r="E72" s="573">
        <v>99896.36</v>
      </c>
      <c r="F72" s="573">
        <v>7208.4</v>
      </c>
      <c r="G72" s="140">
        <f t="shared" ref="G72:H102" si="3">E72-C72</f>
        <v>2668.2899999999936</v>
      </c>
      <c r="H72" s="141">
        <f t="shared" si="3"/>
        <v>1104.29</v>
      </c>
    </row>
    <row r="73" spans="1:11" x14ac:dyDescent="0.25">
      <c r="A73" s="31">
        <f t="shared" si="2"/>
        <v>68</v>
      </c>
      <c r="B73" s="289" t="s">
        <v>120</v>
      </c>
      <c r="C73" s="573">
        <v>7605</v>
      </c>
      <c r="D73" s="573">
        <v>982.44</v>
      </c>
      <c r="E73" s="573">
        <v>7394.86</v>
      </c>
      <c r="F73" s="573">
        <v>1194.72</v>
      </c>
      <c r="G73" s="140">
        <f t="shared" si="3"/>
        <v>-210.14000000000033</v>
      </c>
      <c r="H73" s="141">
        <f t="shared" si="3"/>
        <v>212.27999999999997</v>
      </c>
    </row>
    <row r="74" spans="1:11" x14ac:dyDescent="0.25">
      <c r="A74" s="31" t="s">
        <v>1238</v>
      </c>
      <c r="B74" s="289" t="s">
        <v>1239</v>
      </c>
      <c r="C74" s="573"/>
      <c r="D74" s="573"/>
      <c r="E74" s="573">
        <v>121698.27</v>
      </c>
      <c r="F74" s="573">
        <v>716.1</v>
      </c>
      <c r="G74" s="140"/>
      <c r="H74" s="141"/>
    </row>
    <row r="75" spans="1:11" x14ac:dyDescent="0.25">
      <c r="A75" s="31">
        <f>A73+1</f>
        <v>69</v>
      </c>
      <c r="B75" s="289" t="s">
        <v>121</v>
      </c>
      <c r="C75" s="573">
        <v>0</v>
      </c>
      <c r="D75" s="573">
        <v>60</v>
      </c>
      <c r="E75" s="573">
        <v>326.49</v>
      </c>
      <c r="F75" s="573">
        <v>64.97</v>
      </c>
      <c r="G75" s="140">
        <f t="shared" si="3"/>
        <v>326.49</v>
      </c>
      <c r="H75" s="141">
        <f t="shared" si="3"/>
        <v>4.9699999999999989</v>
      </c>
    </row>
    <row r="76" spans="1:11" x14ac:dyDescent="0.25">
      <c r="A76" s="31">
        <f t="shared" si="2"/>
        <v>70</v>
      </c>
      <c r="B76" s="291" t="s">
        <v>42</v>
      </c>
      <c r="C76" s="573">
        <v>2612.79</v>
      </c>
      <c r="D76" s="573">
        <v>137.29</v>
      </c>
      <c r="E76" s="573">
        <v>2737.74</v>
      </c>
      <c r="F76" s="573">
        <v>2256.3000000000002</v>
      </c>
      <c r="G76" s="140">
        <f t="shared" si="3"/>
        <v>124.94999999999982</v>
      </c>
      <c r="H76" s="141">
        <f t="shared" si="3"/>
        <v>2119.0100000000002</v>
      </c>
    </row>
    <row r="77" spans="1:11" x14ac:dyDescent="0.25">
      <c r="A77" s="31">
        <f t="shared" si="2"/>
        <v>71</v>
      </c>
      <c r="B77" s="291" t="s">
        <v>346</v>
      </c>
      <c r="C77" s="573">
        <v>0</v>
      </c>
      <c r="D77" s="573">
        <v>3292.52</v>
      </c>
      <c r="E77" s="573">
        <v>0</v>
      </c>
      <c r="F77" s="573">
        <v>3766.2</v>
      </c>
      <c r="G77" s="140">
        <f t="shared" si="3"/>
        <v>0</v>
      </c>
      <c r="H77" s="141">
        <f t="shared" si="3"/>
        <v>473.67999999999984</v>
      </c>
    </row>
    <row r="78" spans="1:11" x14ac:dyDescent="0.25">
      <c r="A78" s="31">
        <f t="shared" si="2"/>
        <v>72</v>
      </c>
      <c r="B78" s="291" t="s">
        <v>158</v>
      </c>
      <c r="C78" s="573">
        <v>215124.13</v>
      </c>
      <c r="D78" s="573">
        <v>52412.72</v>
      </c>
      <c r="E78" s="573">
        <v>213511.52</v>
      </c>
      <c r="F78" s="573">
        <v>54025.33</v>
      </c>
      <c r="G78" s="140">
        <f t="shared" si="3"/>
        <v>-1612.6100000000151</v>
      </c>
      <c r="H78" s="141">
        <f t="shared" si="3"/>
        <v>1612.6100000000006</v>
      </c>
    </row>
    <row r="79" spans="1:11" x14ac:dyDescent="0.25">
      <c r="A79" s="31">
        <f t="shared" si="2"/>
        <v>73</v>
      </c>
      <c r="B79" s="291" t="s">
        <v>270</v>
      </c>
      <c r="C79" s="573">
        <v>145376.44</v>
      </c>
      <c r="D79" s="573">
        <v>25088.42</v>
      </c>
      <c r="E79" s="573">
        <v>153353.88</v>
      </c>
      <c r="F79" s="573">
        <v>28510.19</v>
      </c>
      <c r="G79" s="140">
        <f t="shared" si="3"/>
        <v>7977.4400000000023</v>
      </c>
      <c r="H79" s="141">
        <f t="shared" si="3"/>
        <v>3421.7700000000004</v>
      </c>
      <c r="K79" s="568"/>
    </row>
    <row r="80" spans="1:11" x14ac:dyDescent="0.25">
      <c r="A80" s="31">
        <f t="shared" si="2"/>
        <v>74</v>
      </c>
      <c r="B80" s="291" t="s">
        <v>961</v>
      </c>
      <c r="C80" s="559">
        <f>C81+C82</f>
        <v>5502761.9199999999</v>
      </c>
      <c r="D80" s="559">
        <f>D81+D82</f>
        <v>371885.6</v>
      </c>
      <c r="E80" s="559">
        <f>E81+E82</f>
        <v>6321396.0099999998</v>
      </c>
      <c r="F80" s="559">
        <f>F81+F82</f>
        <v>376212.74</v>
      </c>
      <c r="G80" s="57">
        <f t="shared" si="3"/>
        <v>818634.08999999985</v>
      </c>
      <c r="H80" s="136">
        <f t="shared" si="3"/>
        <v>4327.140000000014</v>
      </c>
      <c r="J80" s="568"/>
    </row>
    <row r="81" spans="1:16" ht="16.5" customHeight="1" x14ac:dyDescent="0.25">
      <c r="A81" s="31">
        <f t="shared" si="2"/>
        <v>75</v>
      </c>
      <c r="B81" s="291" t="s">
        <v>858</v>
      </c>
      <c r="C81" s="577">
        <v>90084.9</v>
      </c>
      <c r="D81" s="577">
        <v>26925.3</v>
      </c>
      <c r="E81" s="577">
        <v>110687.32</v>
      </c>
      <c r="F81" s="577">
        <v>15443.05</v>
      </c>
      <c r="G81" s="140">
        <f t="shared" si="3"/>
        <v>20602.420000000013</v>
      </c>
      <c r="H81" s="141">
        <f t="shared" si="3"/>
        <v>-11482.25</v>
      </c>
      <c r="I81" s="482"/>
      <c r="P81" s="676"/>
    </row>
    <row r="82" spans="1:16" x14ac:dyDescent="0.25">
      <c r="A82" s="31">
        <f t="shared" si="2"/>
        <v>76</v>
      </c>
      <c r="B82" s="291" t="s">
        <v>15</v>
      </c>
      <c r="C82" s="559">
        <f>SUM(C83:C90)</f>
        <v>5412677.0199999996</v>
      </c>
      <c r="D82" s="559">
        <f>SUM(D83:D90)</f>
        <v>344960.3</v>
      </c>
      <c r="E82" s="559">
        <f>SUM(E83:E90)</f>
        <v>6210708.6899999995</v>
      </c>
      <c r="F82" s="559">
        <f>SUM(F83:F90)</f>
        <v>360769.69</v>
      </c>
      <c r="G82" s="57">
        <f t="shared" si="3"/>
        <v>798031.66999999993</v>
      </c>
      <c r="H82" s="136">
        <f t="shared" si="3"/>
        <v>15809.390000000014</v>
      </c>
      <c r="P82" s="676"/>
    </row>
    <row r="83" spans="1:16" ht="16.5" customHeight="1" x14ac:dyDescent="0.25">
      <c r="A83" s="31">
        <f t="shared" si="2"/>
        <v>77</v>
      </c>
      <c r="B83" s="289" t="s">
        <v>740</v>
      </c>
      <c r="C83" s="573">
        <v>3271445.41</v>
      </c>
      <c r="D83" s="573">
        <v>7140.05</v>
      </c>
      <c r="E83" s="573">
        <v>3790213.41</v>
      </c>
      <c r="F83" s="573">
        <v>0</v>
      </c>
      <c r="G83" s="140">
        <f t="shared" si="3"/>
        <v>518768</v>
      </c>
      <c r="H83" s="141">
        <f t="shared" si="3"/>
        <v>-7140.05</v>
      </c>
    </row>
    <row r="84" spans="1:16" x14ac:dyDescent="0.25">
      <c r="A84" s="31">
        <f t="shared" si="2"/>
        <v>78</v>
      </c>
      <c r="B84" s="289" t="s">
        <v>122</v>
      </c>
      <c r="C84" s="573">
        <v>12899.03</v>
      </c>
      <c r="D84" s="573">
        <v>1073.44</v>
      </c>
      <c r="E84" s="573">
        <v>25279.59</v>
      </c>
      <c r="F84" s="573">
        <v>1578.94</v>
      </c>
      <c r="G84" s="140">
        <f t="shared" si="3"/>
        <v>12380.56</v>
      </c>
      <c r="H84" s="141">
        <f t="shared" si="3"/>
        <v>505.5</v>
      </c>
    </row>
    <row r="85" spans="1:16" x14ac:dyDescent="0.25">
      <c r="A85" s="31">
        <f t="shared" si="2"/>
        <v>79</v>
      </c>
      <c r="B85" s="289" t="s">
        <v>123</v>
      </c>
      <c r="C85" s="573">
        <v>0</v>
      </c>
      <c r="D85" s="573">
        <v>0</v>
      </c>
      <c r="E85" s="573">
        <v>0</v>
      </c>
      <c r="F85" s="573">
        <v>1.2</v>
      </c>
      <c r="G85" s="140">
        <f t="shared" si="3"/>
        <v>0</v>
      </c>
      <c r="H85" s="141">
        <f t="shared" si="3"/>
        <v>1.2</v>
      </c>
      <c r="I85" s="583"/>
      <c r="J85" s="568"/>
      <c r="K85" s="676"/>
    </row>
    <row r="86" spans="1:16" ht="31.5" x14ac:dyDescent="0.25">
      <c r="A86" s="31">
        <f t="shared" si="2"/>
        <v>80</v>
      </c>
      <c r="B86" s="289" t="s">
        <v>805</v>
      </c>
      <c r="C86" s="573">
        <v>147878.39000000001</v>
      </c>
      <c r="D86" s="573">
        <v>4691.38</v>
      </c>
      <c r="E86" s="573">
        <v>139267.84</v>
      </c>
      <c r="F86" s="573">
        <v>4218.24</v>
      </c>
      <c r="G86" s="140">
        <f t="shared" si="3"/>
        <v>-8610.5500000000175</v>
      </c>
      <c r="H86" s="141">
        <f t="shared" si="3"/>
        <v>-473.14000000000033</v>
      </c>
      <c r="I86" s="874"/>
      <c r="J86" s="367"/>
      <c r="K86" s="367"/>
      <c r="L86" s="367"/>
      <c r="M86" s="367"/>
    </row>
    <row r="87" spans="1:16" x14ac:dyDescent="0.25">
      <c r="A87" s="31">
        <f t="shared" si="2"/>
        <v>81</v>
      </c>
      <c r="B87" s="289" t="s">
        <v>864</v>
      </c>
      <c r="C87" s="573">
        <v>210434.28</v>
      </c>
      <c r="D87" s="573">
        <v>24684</v>
      </c>
      <c r="E87" s="573">
        <v>352561.55</v>
      </c>
      <c r="F87" s="573">
        <v>0</v>
      </c>
      <c r="G87" s="140">
        <f t="shared" si="3"/>
        <v>142127.26999999999</v>
      </c>
      <c r="H87" s="141">
        <f t="shared" si="3"/>
        <v>-24684</v>
      </c>
      <c r="I87" s="616"/>
      <c r="J87" s="580"/>
    </row>
    <row r="88" spans="1:16" x14ac:dyDescent="0.25">
      <c r="A88" s="31" t="s">
        <v>862</v>
      </c>
      <c r="B88" s="289" t="s">
        <v>861</v>
      </c>
      <c r="C88" s="573">
        <v>0</v>
      </c>
      <c r="D88" s="573">
        <v>0</v>
      </c>
      <c r="E88" s="573">
        <v>0</v>
      </c>
      <c r="F88" s="573">
        <v>0</v>
      </c>
      <c r="G88" s="140">
        <f t="shared" ref="G88" si="4">E88-C88</f>
        <v>0</v>
      </c>
      <c r="H88" s="141">
        <f t="shared" ref="H88" si="5">F88-D88</f>
        <v>0</v>
      </c>
      <c r="I88" s="616"/>
      <c r="J88" s="580"/>
    </row>
    <row r="89" spans="1:16" x14ac:dyDescent="0.25">
      <c r="A89" s="31">
        <f>A87+1</f>
        <v>82</v>
      </c>
      <c r="B89" s="289" t="s">
        <v>866</v>
      </c>
      <c r="C89" s="573">
        <v>920534.14</v>
      </c>
      <c r="D89" s="573">
        <v>283141.51</v>
      </c>
      <c r="E89" s="573">
        <v>992499.04</v>
      </c>
      <c r="F89" s="573">
        <v>264536.81</v>
      </c>
      <c r="G89" s="140">
        <f t="shared" si="3"/>
        <v>71964.900000000023</v>
      </c>
      <c r="H89" s="141">
        <f t="shared" si="3"/>
        <v>-18604.700000000012</v>
      </c>
      <c r="I89" s="616"/>
    </row>
    <row r="90" spans="1:16" x14ac:dyDescent="0.25">
      <c r="A90" s="31">
        <f t="shared" si="2"/>
        <v>83</v>
      </c>
      <c r="B90" s="289" t="s">
        <v>865</v>
      </c>
      <c r="C90" s="573">
        <v>849485.77</v>
      </c>
      <c r="D90" s="573">
        <v>24229.919999999998</v>
      </c>
      <c r="E90" s="573">
        <v>910887.26</v>
      </c>
      <c r="F90" s="573">
        <v>90434.5</v>
      </c>
      <c r="G90" s="140">
        <f t="shared" si="3"/>
        <v>61401.489999999991</v>
      </c>
      <c r="H90" s="141">
        <f t="shared" si="3"/>
        <v>66204.58</v>
      </c>
      <c r="I90" s="616"/>
      <c r="J90" s="568"/>
      <c r="K90" s="676"/>
      <c r="O90" s="676"/>
    </row>
    <row r="91" spans="1:16" ht="31.5" x14ac:dyDescent="0.25">
      <c r="A91" s="31">
        <f t="shared" si="2"/>
        <v>84</v>
      </c>
      <c r="B91" s="291" t="s">
        <v>962</v>
      </c>
      <c r="C91" s="559">
        <f>SUM(C92:C100)</f>
        <v>17912279.850000001</v>
      </c>
      <c r="D91" s="559">
        <f>SUM(D92:D100)</f>
        <v>9954.0500000000011</v>
      </c>
      <c r="E91" s="559">
        <f>SUM(E92:E100)</f>
        <v>17001068.890000001</v>
      </c>
      <c r="F91" s="559">
        <f>SUM(F92:F100)</f>
        <v>22591.07</v>
      </c>
      <c r="G91" s="57">
        <f t="shared" si="3"/>
        <v>-911210.96000000089</v>
      </c>
      <c r="H91" s="136">
        <f t="shared" si="3"/>
        <v>12637.019999999999</v>
      </c>
      <c r="I91" s="616"/>
      <c r="J91" s="568"/>
    </row>
    <row r="92" spans="1:16" ht="31.5" customHeight="1" x14ac:dyDescent="0.25">
      <c r="A92" s="31">
        <f t="shared" si="2"/>
        <v>85</v>
      </c>
      <c r="B92" s="289" t="s">
        <v>773</v>
      </c>
      <c r="C92" s="573">
        <v>654677.30000000005</v>
      </c>
      <c r="D92" s="573">
        <v>0</v>
      </c>
      <c r="E92" s="573">
        <v>758725.97</v>
      </c>
      <c r="F92" s="573">
        <v>0</v>
      </c>
      <c r="G92" s="140">
        <f t="shared" si="3"/>
        <v>104048.66999999993</v>
      </c>
      <c r="H92" s="141">
        <f t="shared" si="3"/>
        <v>0</v>
      </c>
      <c r="I92" s="616"/>
      <c r="O92" s="676"/>
    </row>
    <row r="93" spans="1:16" ht="31.5" x14ac:dyDescent="0.25">
      <c r="A93" s="31">
        <f t="shared" si="2"/>
        <v>86</v>
      </c>
      <c r="B93" s="296" t="s">
        <v>901</v>
      </c>
      <c r="C93" s="573">
        <v>2391118.16</v>
      </c>
      <c r="D93" s="573">
        <v>22745.18</v>
      </c>
      <c r="E93" s="573">
        <v>2227008.27</v>
      </c>
      <c r="F93" s="573">
        <v>23585.360000000001</v>
      </c>
      <c r="G93" s="140">
        <f t="shared" si="3"/>
        <v>-164109.89000000013</v>
      </c>
      <c r="H93" s="141">
        <f t="shared" si="3"/>
        <v>840.18000000000029</v>
      </c>
      <c r="I93" s="616"/>
      <c r="J93" s="568"/>
      <c r="O93" s="676"/>
    </row>
    <row r="94" spans="1:16" ht="31.5" x14ac:dyDescent="0.25">
      <c r="A94" s="31" t="s">
        <v>678</v>
      </c>
      <c r="B94" s="296" t="s">
        <v>902</v>
      </c>
      <c r="C94" s="573">
        <v>11899073.140000001</v>
      </c>
      <c r="D94" s="573">
        <v>0</v>
      </c>
      <c r="E94" s="573">
        <v>11146424.210000001</v>
      </c>
      <c r="F94" s="573">
        <v>0</v>
      </c>
      <c r="G94" s="140">
        <f>E94-C94</f>
        <v>-752648.9299999997</v>
      </c>
      <c r="H94" s="141">
        <f>F94-D94</f>
        <v>0</v>
      </c>
      <c r="I94" s="583"/>
      <c r="J94" s="568"/>
    </row>
    <row r="95" spans="1:16" ht="15.75" customHeight="1" x14ac:dyDescent="0.25">
      <c r="A95" s="31">
        <f>A93+1</f>
        <v>87</v>
      </c>
      <c r="B95" s="289" t="s">
        <v>859</v>
      </c>
      <c r="C95" s="573">
        <v>56007.42</v>
      </c>
      <c r="D95" s="573">
        <v>-12791.13</v>
      </c>
      <c r="E95" s="573">
        <v>18704.27</v>
      </c>
      <c r="F95" s="573">
        <v>-994.29</v>
      </c>
      <c r="G95" s="140">
        <f t="shared" si="3"/>
        <v>-37303.149999999994</v>
      </c>
      <c r="H95" s="141">
        <f t="shared" si="3"/>
        <v>11796.84</v>
      </c>
      <c r="J95" s="568"/>
    </row>
    <row r="96" spans="1:16" x14ac:dyDescent="0.25">
      <c r="A96" s="31">
        <f t="shared" si="2"/>
        <v>88</v>
      </c>
      <c r="B96" s="289" t="s">
        <v>150</v>
      </c>
      <c r="C96" s="573">
        <v>0</v>
      </c>
      <c r="D96" s="573">
        <v>0</v>
      </c>
      <c r="E96" s="573">
        <v>0</v>
      </c>
      <c r="F96" s="573">
        <v>0</v>
      </c>
      <c r="G96" s="140">
        <f t="shared" si="3"/>
        <v>0</v>
      </c>
      <c r="H96" s="141">
        <f t="shared" si="3"/>
        <v>0</v>
      </c>
    </row>
    <row r="97" spans="1:12" x14ac:dyDescent="0.25">
      <c r="A97" s="31">
        <f t="shared" si="2"/>
        <v>89</v>
      </c>
      <c r="B97" s="289" t="s">
        <v>151</v>
      </c>
      <c r="C97" s="573">
        <v>2911403.83</v>
      </c>
      <c r="D97" s="573">
        <v>0</v>
      </c>
      <c r="E97" s="573">
        <v>2794511.78</v>
      </c>
      <c r="F97" s="573">
        <v>0</v>
      </c>
      <c r="G97" s="140">
        <f t="shared" si="3"/>
        <v>-116892.05000000028</v>
      </c>
      <c r="H97" s="141">
        <f t="shared" si="3"/>
        <v>0</v>
      </c>
    </row>
    <row r="98" spans="1:12" ht="31.5" x14ac:dyDescent="0.25">
      <c r="A98" s="31">
        <f t="shared" si="2"/>
        <v>90</v>
      </c>
      <c r="B98" s="368" t="s">
        <v>863</v>
      </c>
      <c r="C98" s="573">
        <v>0</v>
      </c>
      <c r="D98" s="579">
        <v>0</v>
      </c>
      <c r="E98" s="573">
        <v>55688.7</v>
      </c>
      <c r="F98" s="573">
        <v>0</v>
      </c>
      <c r="G98" s="140">
        <f t="shared" si="3"/>
        <v>55688.7</v>
      </c>
      <c r="H98" s="141">
        <f t="shared" si="3"/>
        <v>0</v>
      </c>
      <c r="I98" s="617"/>
    </row>
    <row r="99" spans="1:12" ht="40.5" customHeight="1" x14ac:dyDescent="0.25">
      <c r="A99" s="31">
        <f t="shared" si="2"/>
        <v>91</v>
      </c>
      <c r="B99" s="294" t="s">
        <v>818</v>
      </c>
      <c r="C99" s="573">
        <v>0</v>
      </c>
      <c r="D99" s="573">
        <v>0</v>
      </c>
      <c r="E99" s="573">
        <v>0</v>
      </c>
      <c r="F99" s="573">
        <v>0</v>
      </c>
      <c r="G99" s="140">
        <f t="shared" ref="G99" si="6">E99-C99</f>
        <v>0</v>
      </c>
      <c r="H99" s="141">
        <f t="shared" ref="H99" si="7">F99-D99</f>
        <v>0</v>
      </c>
    </row>
    <row r="100" spans="1:12" ht="16.5" customHeight="1" x14ac:dyDescent="0.25">
      <c r="A100" s="31">
        <f>A99+1</f>
        <v>92</v>
      </c>
      <c r="B100" s="289" t="s">
        <v>812</v>
      </c>
      <c r="C100" s="573">
        <v>0</v>
      </c>
      <c r="D100" s="573">
        <v>0</v>
      </c>
      <c r="E100" s="573">
        <v>5.69</v>
      </c>
      <c r="F100" s="573">
        <v>0</v>
      </c>
      <c r="G100" s="140">
        <f t="shared" si="3"/>
        <v>5.69</v>
      </c>
      <c r="H100" s="141">
        <f t="shared" si="3"/>
        <v>0</v>
      </c>
    </row>
    <row r="101" spans="1:12" ht="16.5" customHeight="1" x14ac:dyDescent="0.25">
      <c r="A101" s="31">
        <f t="shared" si="2"/>
        <v>93</v>
      </c>
      <c r="B101" s="291" t="s">
        <v>911</v>
      </c>
      <c r="C101" s="573">
        <v>232901.39</v>
      </c>
      <c r="D101" s="573">
        <v>670</v>
      </c>
      <c r="E101" s="573">
        <v>436331.4</v>
      </c>
      <c r="F101" s="573">
        <v>550</v>
      </c>
      <c r="G101" s="140">
        <f t="shared" si="3"/>
        <v>203430.01</v>
      </c>
      <c r="H101" s="141">
        <f t="shared" si="3"/>
        <v>-120</v>
      </c>
    </row>
    <row r="102" spans="1:12" x14ac:dyDescent="0.25">
      <c r="A102" s="31">
        <f>A101+1</f>
        <v>94</v>
      </c>
      <c r="B102" s="291" t="s">
        <v>912</v>
      </c>
      <c r="C102" s="573">
        <v>0</v>
      </c>
      <c r="D102" s="573">
        <v>370598.8</v>
      </c>
      <c r="E102" s="573">
        <v>0</v>
      </c>
      <c r="F102" s="573">
        <v>411770.31</v>
      </c>
      <c r="G102" s="140">
        <f t="shared" si="3"/>
        <v>0</v>
      </c>
      <c r="H102" s="141">
        <f t="shared" si="3"/>
        <v>41171.510000000009</v>
      </c>
    </row>
    <row r="103" spans="1:12" ht="34.5" customHeight="1" thickBot="1" x14ac:dyDescent="0.3">
      <c r="A103" s="32">
        <f t="shared" si="2"/>
        <v>95</v>
      </c>
      <c r="B103" s="456" t="s">
        <v>973</v>
      </c>
      <c r="C103" s="388">
        <f>C6+C19+C27+C32+C40+C43+C44+C60+C66+C67+C68+C76+C77+C78+C79+C80+C91+C101+C102</f>
        <v>92916851.899999991</v>
      </c>
      <c r="D103" s="388">
        <f>D6+D19+D27+D32+D40+D43+D44+D60+D66+D67+D68+D76+D77+D78+D79+D80+D91+D101+D102</f>
        <v>7704845.3999999985</v>
      </c>
      <c r="E103" s="388">
        <f t="shared" ref="E103:F103" si="8">E6+E19+E27+E32+E40+E43+E44+E60+E66+E67+E68+E76+E77+E78+E79+E80+E91+E101+E102</f>
        <v>97471183.830000013</v>
      </c>
      <c r="F103" s="388">
        <f t="shared" si="8"/>
        <v>8379401.2200000016</v>
      </c>
      <c r="G103" s="58">
        <f>E103-C103</f>
        <v>4554331.9300000221</v>
      </c>
      <c r="H103" s="139">
        <f>F103-D103</f>
        <v>674555.82000000309</v>
      </c>
      <c r="I103" s="483"/>
    </row>
    <row r="104" spans="1:12" x14ac:dyDescent="0.25">
      <c r="A104" s="4"/>
      <c r="B104" s="457"/>
      <c r="D104" s="357">
        <f>C103+D103-C102-D102</f>
        <v>100251098.49999999</v>
      </c>
      <c r="E104" s="358"/>
      <c r="F104" s="357">
        <f>E103+F103-E102-F102</f>
        <v>105438814.74000001</v>
      </c>
      <c r="I104" s="484"/>
    </row>
    <row r="105" spans="1:12" ht="31.5" x14ac:dyDescent="0.25">
      <c r="A105" s="290" t="s">
        <v>774</v>
      </c>
      <c r="B105" s="458" t="s">
        <v>913</v>
      </c>
      <c r="F105" s="676"/>
    </row>
    <row r="107" spans="1:12" x14ac:dyDescent="0.25">
      <c r="F107" s="582"/>
      <c r="G107" s="582"/>
    </row>
    <row r="108" spans="1:12" x14ac:dyDescent="0.25">
      <c r="C108" s="568"/>
      <c r="D108" s="568"/>
      <c r="E108" s="580"/>
      <c r="F108" s="582"/>
      <c r="G108" s="582"/>
      <c r="I108" s="1"/>
    </row>
    <row r="109" spans="1:12" x14ac:dyDescent="0.25">
      <c r="C109" s="568"/>
      <c r="D109" s="568"/>
      <c r="E109" s="568"/>
      <c r="F109" s="582"/>
      <c r="G109" s="582"/>
      <c r="I109" s="1"/>
    </row>
    <row r="110" spans="1:12" x14ac:dyDescent="0.25">
      <c r="C110" s="568"/>
      <c r="D110" s="568"/>
      <c r="E110" s="568"/>
      <c r="F110" s="252"/>
      <c r="I110" s="1"/>
    </row>
    <row r="111" spans="1:12" x14ac:dyDescent="0.25">
      <c r="C111" s="568"/>
      <c r="D111" s="568"/>
      <c r="E111" s="581"/>
      <c r="F111" s="581"/>
      <c r="G111" s="581"/>
      <c r="H111" s="582"/>
      <c r="I111" s="582"/>
      <c r="J111" s="582"/>
      <c r="K111" s="582"/>
      <c r="L111" s="582"/>
    </row>
    <row r="112" spans="1:12" x14ac:dyDescent="0.25">
      <c r="C112" s="568"/>
      <c r="D112" s="568"/>
      <c r="E112" s="676"/>
      <c r="F112" s="582"/>
      <c r="G112" s="581"/>
      <c r="H112" s="582"/>
      <c r="I112" s="582"/>
      <c r="J112" s="582"/>
      <c r="K112" s="582"/>
      <c r="L112" s="582"/>
    </row>
    <row r="113" spans="3:12" x14ac:dyDescent="0.25">
      <c r="C113" s="568"/>
      <c r="I113" s="1"/>
      <c r="J113" s="582"/>
      <c r="K113" s="582"/>
      <c r="L113" s="582"/>
    </row>
    <row r="114" spans="3:12" x14ac:dyDescent="0.25">
      <c r="I114" s="1"/>
    </row>
    <row r="973" spans="6:6" x14ac:dyDescent="0.25">
      <c r="F973" s="1" t="s">
        <v>350</v>
      </c>
    </row>
    <row r="992" spans="4:4" x14ac:dyDescent="0.25">
      <c r="D992" s="1" t="s">
        <v>349</v>
      </c>
    </row>
  </sheetData>
  <mergeCells count="8">
    <mergeCell ref="J58:L58"/>
    <mergeCell ref="A1:H1"/>
    <mergeCell ref="A2:H2"/>
    <mergeCell ref="A3:A4"/>
    <mergeCell ref="B3:B4"/>
    <mergeCell ref="C3:D3"/>
    <mergeCell ref="E3:F3"/>
    <mergeCell ref="G3:H3"/>
  </mergeCells>
  <printOptions gridLines="1"/>
  <pageMargins left="0.47" right="0.21" top="0.62992125984251968" bottom="0.39370078740157483" header="0.39370078740157483" footer="0.23622047244094491"/>
  <pageSetup paperSize="9" scale="76" fitToHeight="0" orientation="landscape" r:id="rId1"/>
  <headerFooter alignWithMargins="0">
    <oddFooter xml:space="preserve">&amp;C &amp;P z &amp;N  </oddFooter>
  </headerFooter>
  <rowBreaks count="2" manualBreakCount="2">
    <brk id="39" max="7" man="1"/>
    <brk id="78"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8"/>
  <sheetViews>
    <sheetView zoomScale="80" zoomScaleNormal="80" workbookViewId="0">
      <pane xSplit="2" ySplit="6" topLeftCell="D45" activePane="bottomRight" state="frozen"/>
      <selection pane="topRight" activeCell="C1" sqref="C1"/>
      <selection pane="bottomLeft" activeCell="A7" sqref="A7"/>
      <selection pane="bottomRight" activeCell="E48" sqref="E48"/>
    </sheetView>
  </sheetViews>
  <sheetFormatPr defaultColWidth="9.140625" defaultRowHeight="15.75" x14ac:dyDescent="0.2"/>
  <cols>
    <col min="1" max="1" width="5.5703125" style="23"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6384" width="9.140625" style="18"/>
  </cols>
  <sheetData>
    <row r="1" spans="1:15" ht="35.1" customHeight="1" thickBot="1" x14ac:dyDescent="0.25">
      <c r="A1" s="982" t="s">
        <v>997</v>
      </c>
      <c r="B1" s="983"/>
      <c r="C1" s="983"/>
      <c r="D1" s="983"/>
      <c r="E1" s="983"/>
      <c r="F1" s="983"/>
      <c r="G1" s="983"/>
      <c r="H1" s="983"/>
      <c r="I1" s="983"/>
      <c r="J1" s="983"/>
      <c r="K1" s="983"/>
    </row>
    <row r="2" spans="1:15" ht="35.450000000000003" customHeight="1" thickBot="1" x14ac:dyDescent="0.25">
      <c r="A2" s="954" t="s">
        <v>366</v>
      </c>
      <c r="B2" s="955"/>
      <c r="C2" s="955"/>
      <c r="D2" s="955"/>
      <c r="E2" s="955"/>
      <c r="F2" s="955"/>
      <c r="G2" s="955"/>
      <c r="H2" s="955"/>
      <c r="I2" s="955"/>
      <c r="J2" s="955"/>
      <c r="K2" s="956"/>
      <c r="L2" s="433"/>
      <c r="M2" s="433"/>
      <c r="N2" s="433"/>
    </row>
    <row r="3" spans="1:15" ht="32.25" customHeight="1" x14ac:dyDescent="0.2">
      <c r="A3" s="971" t="s">
        <v>180</v>
      </c>
      <c r="B3" s="943" t="s">
        <v>208</v>
      </c>
      <c r="C3" s="960" t="s">
        <v>1115</v>
      </c>
      <c r="D3" s="960"/>
      <c r="E3" s="960"/>
      <c r="F3" s="960"/>
      <c r="G3" s="960" t="s">
        <v>713</v>
      </c>
      <c r="H3" s="961" t="s">
        <v>274</v>
      </c>
      <c r="I3" s="960" t="s">
        <v>715</v>
      </c>
      <c r="J3" s="984" t="s">
        <v>716</v>
      </c>
      <c r="K3" s="963" t="s">
        <v>806</v>
      </c>
      <c r="L3" s="973" t="s">
        <v>936</v>
      </c>
      <c r="M3" s="976" t="s">
        <v>960</v>
      </c>
      <c r="N3" s="979" t="s">
        <v>937</v>
      </c>
      <c r="O3" s="453"/>
    </row>
    <row r="4" spans="1:15" ht="34.5" customHeight="1" x14ac:dyDescent="0.2">
      <c r="A4" s="972"/>
      <c r="B4" s="970"/>
      <c r="C4" s="966" t="s">
        <v>206</v>
      </c>
      <c r="D4" s="14" t="s">
        <v>274</v>
      </c>
      <c r="E4" s="966" t="s">
        <v>207</v>
      </c>
      <c r="F4" s="966" t="s">
        <v>162</v>
      </c>
      <c r="G4" s="966"/>
      <c r="H4" s="962"/>
      <c r="I4" s="966"/>
      <c r="J4" s="985"/>
      <c r="K4" s="963"/>
      <c r="L4" s="974"/>
      <c r="M4" s="977"/>
      <c r="N4" s="980"/>
      <c r="O4" s="453"/>
    </row>
    <row r="5" spans="1:15" s="70" customFormat="1" ht="63.75" thickBot="1" x14ac:dyDescent="0.25">
      <c r="A5" s="972"/>
      <c r="B5" s="970"/>
      <c r="C5" s="966"/>
      <c r="D5" s="14" t="s">
        <v>667</v>
      </c>
      <c r="E5" s="966"/>
      <c r="F5" s="966"/>
      <c r="G5" s="966"/>
      <c r="H5" s="14" t="s">
        <v>714</v>
      </c>
      <c r="I5" s="966"/>
      <c r="J5" s="985"/>
      <c r="K5" s="964"/>
      <c r="L5" s="975"/>
      <c r="M5" s="978"/>
      <c r="N5" s="981"/>
      <c r="O5" s="455"/>
    </row>
    <row r="6" spans="1:15" s="71" customFormat="1" ht="18" customHeight="1" thickBot="1" x14ac:dyDescent="0.25">
      <c r="A6" s="134"/>
      <c r="B6" s="59"/>
      <c r="C6" s="16" t="s">
        <v>257</v>
      </c>
      <c r="D6" s="16" t="s">
        <v>258</v>
      </c>
      <c r="E6" s="16" t="s">
        <v>259</v>
      </c>
      <c r="F6" s="16" t="s">
        <v>163</v>
      </c>
      <c r="G6" s="16" t="s">
        <v>260</v>
      </c>
      <c r="H6" s="16" t="s">
        <v>261</v>
      </c>
      <c r="I6" s="16" t="s">
        <v>262</v>
      </c>
      <c r="J6" s="308" t="s">
        <v>164</v>
      </c>
      <c r="K6" s="351" t="s">
        <v>807</v>
      </c>
    </row>
    <row r="7" spans="1:15" s="21" customFormat="1" x14ac:dyDescent="0.2">
      <c r="A7" s="29">
        <v>1</v>
      </c>
      <c r="B7" s="44" t="s">
        <v>253</v>
      </c>
      <c r="C7" s="681">
        <f>SUM(C8:C12)</f>
        <v>949.84</v>
      </c>
      <c r="D7" s="681">
        <f>SUM(D8:D12)</f>
        <v>948.5100000000001</v>
      </c>
      <c r="E7" s="681">
        <f>SUM(E8:E12)</f>
        <v>5.6199999999999992</v>
      </c>
      <c r="F7" s="681">
        <f t="shared" ref="F7:F13" si="0">C7+E7</f>
        <v>955.46</v>
      </c>
      <c r="G7" s="681">
        <f>SUM(G8:G12)</f>
        <v>19674805.469999999</v>
      </c>
      <c r="H7" s="681">
        <f>SUM(H8:H12)</f>
        <v>18886584.489999995</v>
      </c>
      <c r="I7" s="681">
        <f>SUM(I8:I12)</f>
        <v>1271795.2100000002</v>
      </c>
      <c r="J7" s="754">
        <f t="shared" ref="J7:J13" si="1">G7+I7</f>
        <v>20946600.68</v>
      </c>
      <c r="K7" s="755">
        <f>IF(F7=0,0,J7/F7/12)</f>
        <v>1826.9211235076993</v>
      </c>
      <c r="L7" s="756">
        <v>1336.5</v>
      </c>
      <c r="M7" s="757">
        <v>1565.58</v>
      </c>
      <c r="N7" s="758">
        <v>1953.5</v>
      </c>
    </row>
    <row r="8" spans="1:15" x14ac:dyDescent="0.2">
      <c r="A8" s="29">
        <v>2</v>
      </c>
      <c r="B8" s="26" t="s">
        <v>808</v>
      </c>
      <c r="C8" s="759">
        <v>163.22</v>
      </c>
      <c r="D8" s="759">
        <v>163.15</v>
      </c>
      <c r="E8" s="759">
        <v>1.23</v>
      </c>
      <c r="F8" s="681">
        <f t="shared" si="0"/>
        <v>164.45</v>
      </c>
      <c r="G8" s="759">
        <v>4944819.5</v>
      </c>
      <c r="H8" s="759">
        <v>4628585.5</v>
      </c>
      <c r="I8" s="759">
        <v>401093.35</v>
      </c>
      <c r="J8" s="754">
        <f t="shared" si="1"/>
        <v>5345912.8499999996</v>
      </c>
      <c r="K8" s="755">
        <f t="shared" ref="K8:K30" si="2">IF(F8=0,0,J8/F8/12)</f>
        <v>2708.9859379750683</v>
      </c>
      <c r="L8" s="760">
        <v>1896.13</v>
      </c>
      <c r="M8" s="761">
        <v>2320.92</v>
      </c>
      <c r="N8" s="762">
        <v>2877.15</v>
      </c>
    </row>
    <row r="9" spans="1:15" x14ac:dyDescent="0.2">
      <c r="A9" s="29">
        <v>3</v>
      </c>
      <c r="B9" s="26" t="s">
        <v>209</v>
      </c>
      <c r="C9" s="759">
        <v>277.82</v>
      </c>
      <c r="D9" s="759">
        <v>277.3</v>
      </c>
      <c r="E9" s="759">
        <v>1.17</v>
      </c>
      <c r="F9" s="681">
        <f t="shared" si="0"/>
        <v>278.99</v>
      </c>
      <c r="G9" s="759">
        <v>6119721.1600000001</v>
      </c>
      <c r="H9" s="759">
        <v>5905364.0800000001</v>
      </c>
      <c r="I9" s="759">
        <v>470885.61</v>
      </c>
      <c r="J9" s="754">
        <f t="shared" si="1"/>
        <v>6590606.7700000005</v>
      </c>
      <c r="K9" s="755">
        <f t="shared" si="2"/>
        <v>1968.5910994420349</v>
      </c>
      <c r="L9" s="760">
        <v>1558.33</v>
      </c>
      <c r="M9" s="761">
        <v>1781.67</v>
      </c>
      <c r="N9" s="762">
        <v>2096.17</v>
      </c>
    </row>
    <row r="10" spans="1:15" x14ac:dyDescent="0.2">
      <c r="A10" s="29">
        <v>4</v>
      </c>
      <c r="B10" s="26" t="s">
        <v>210</v>
      </c>
      <c r="C10" s="759">
        <v>493.39</v>
      </c>
      <c r="D10" s="759">
        <v>492.7</v>
      </c>
      <c r="E10" s="759">
        <v>3.12</v>
      </c>
      <c r="F10" s="681">
        <f t="shared" si="0"/>
        <v>496.51</v>
      </c>
      <c r="G10" s="759">
        <v>8381401.8899999997</v>
      </c>
      <c r="H10" s="759">
        <v>8127272.4299999997</v>
      </c>
      <c r="I10" s="759">
        <v>396720.89</v>
      </c>
      <c r="J10" s="754">
        <f t="shared" si="1"/>
        <v>8778122.7799999993</v>
      </c>
      <c r="K10" s="755">
        <f t="shared" si="2"/>
        <v>1473.3041261337469</v>
      </c>
      <c r="L10" s="760">
        <v>1245.75</v>
      </c>
      <c r="M10" s="761">
        <v>1397.08</v>
      </c>
      <c r="N10" s="762">
        <v>1581.5</v>
      </c>
    </row>
    <row r="11" spans="1:15" x14ac:dyDescent="0.2">
      <c r="A11" s="29">
        <v>5</v>
      </c>
      <c r="B11" s="26" t="s">
        <v>211</v>
      </c>
      <c r="C11" s="759">
        <v>7.59</v>
      </c>
      <c r="D11" s="759">
        <v>7.54</v>
      </c>
      <c r="E11" s="759">
        <v>0.1</v>
      </c>
      <c r="F11" s="681">
        <f t="shared" si="0"/>
        <v>7.6899999999999995</v>
      </c>
      <c r="G11" s="759">
        <v>112833.43</v>
      </c>
      <c r="H11" s="759">
        <v>109332.99</v>
      </c>
      <c r="I11" s="759">
        <v>1890.36</v>
      </c>
      <c r="J11" s="754">
        <f t="shared" si="1"/>
        <v>114723.79</v>
      </c>
      <c r="K11" s="755">
        <f t="shared" si="2"/>
        <v>1243.2140225400954</v>
      </c>
      <c r="L11" s="760">
        <v>916.5</v>
      </c>
      <c r="M11" s="761">
        <v>962.83</v>
      </c>
      <c r="N11" s="762">
        <v>1251.19</v>
      </c>
    </row>
    <row r="12" spans="1:15" x14ac:dyDescent="0.2">
      <c r="A12" s="29">
        <v>6</v>
      </c>
      <c r="B12" s="26" t="s">
        <v>212</v>
      </c>
      <c r="C12" s="759">
        <v>7.82</v>
      </c>
      <c r="D12" s="759">
        <v>7.82</v>
      </c>
      <c r="E12" s="759"/>
      <c r="F12" s="681">
        <f t="shared" si="0"/>
        <v>7.82</v>
      </c>
      <c r="G12" s="759">
        <v>116029.49</v>
      </c>
      <c r="H12" s="759">
        <v>116029.49</v>
      </c>
      <c r="I12" s="759">
        <v>1205</v>
      </c>
      <c r="J12" s="754">
        <f t="shared" si="1"/>
        <v>117234.49</v>
      </c>
      <c r="K12" s="755">
        <f t="shared" si="2"/>
        <v>1249.3018968456947</v>
      </c>
      <c r="L12" s="760">
        <v>1073.67</v>
      </c>
      <c r="M12" s="761">
        <v>1182.77</v>
      </c>
      <c r="N12" s="762">
        <v>1368.43</v>
      </c>
    </row>
    <row r="13" spans="1:15" x14ac:dyDescent="0.2">
      <c r="A13" s="29">
        <v>7</v>
      </c>
      <c r="B13" s="44" t="s">
        <v>56</v>
      </c>
      <c r="C13" s="759">
        <v>204.72</v>
      </c>
      <c r="D13" s="759">
        <v>204.72</v>
      </c>
      <c r="E13" s="759">
        <v>2.94</v>
      </c>
      <c r="F13" s="681">
        <f t="shared" si="0"/>
        <v>207.66</v>
      </c>
      <c r="G13" s="759">
        <v>2561573.9700000002</v>
      </c>
      <c r="H13" s="759">
        <v>2531177.09</v>
      </c>
      <c r="I13" s="759">
        <v>708110.53</v>
      </c>
      <c r="J13" s="754">
        <f t="shared" si="1"/>
        <v>3269684.5</v>
      </c>
      <c r="K13" s="755">
        <f t="shared" si="2"/>
        <v>1312.1145542393015</v>
      </c>
      <c r="L13" s="760">
        <v>876.93</v>
      </c>
      <c r="M13" s="761">
        <v>1049.81</v>
      </c>
      <c r="N13" s="762">
        <v>1479.5</v>
      </c>
    </row>
    <row r="14" spans="1:15" x14ac:dyDescent="0.2">
      <c r="A14" s="29"/>
      <c r="B14" s="26" t="s">
        <v>274</v>
      </c>
      <c r="C14" s="763"/>
      <c r="D14" s="763"/>
      <c r="E14" s="763"/>
      <c r="F14" s="764"/>
      <c r="G14" s="763"/>
      <c r="H14" s="763"/>
      <c r="I14" s="763"/>
      <c r="J14" s="765"/>
      <c r="K14" s="755"/>
      <c r="L14" s="760"/>
      <c r="M14" s="761"/>
      <c r="N14" s="762"/>
    </row>
    <row r="15" spans="1:15" x14ac:dyDescent="0.2">
      <c r="A15" s="29">
        <v>8</v>
      </c>
      <c r="B15" s="26" t="s">
        <v>60</v>
      </c>
      <c r="C15" s="759">
        <v>104.22</v>
      </c>
      <c r="D15" s="759">
        <v>104.22</v>
      </c>
      <c r="E15" s="759">
        <v>1.77</v>
      </c>
      <c r="F15" s="681">
        <f t="shared" ref="F15:F21" si="3">C15+E15</f>
        <v>105.99</v>
      </c>
      <c r="G15" s="759">
        <v>1431893.59</v>
      </c>
      <c r="H15" s="759">
        <v>1410324.88</v>
      </c>
      <c r="I15" s="759">
        <v>674605.13</v>
      </c>
      <c r="J15" s="754">
        <f t="shared" ref="J15:J21" si="4">G15+I15</f>
        <v>2106498.7200000002</v>
      </c>
      <c r="K15" s="755">
        <f t="shared" si="2"/>
        <v>1656.208698933862</v>
      </c>
      <c r="L15" s="760">
        <v>951.04</v>
      </c>
      <c r="M15" s="761">
        <v>1282.83</v>
      </c>
      <c r="N15" s="762">
        <v>1693.77</v>
      </c>
    </row>
    <row r="16" spans="1:15" x14ac:dyDescent="0.2">
      <c r="A16" s="29">
        <v>9</v>
      </c>
      <c r="B16" s="44" t="s">
        <v>254</v>
      </c>
      <c r="C16" s="681">
        <f>SUM(C17:C19)</f>
        <v>352.79</v>
      </c>
      <c r="D16" s="681">
        <f>SUM(D17:D19)</f>
        <v>351.98</v>
      </c>
      <c r="E16" s="681">
        <f>SUM(E17:E19)</f>
        <v>40.549999999999997</v>
      </c>
      <c r="F16" s="681">
        <f t="shared" si="3"/>
        <v>393.34000000000003</v>
      </c>
      <c r="G16" s="681">
        <f>SUM(G17:G19)</f>
        <v>5194968.3600000003</v>
      </c>
      <c r="H16" s="681">
        <f>SUM(H17:H19)</f>
        <v>5103452.05</v>
      </c>
      <c r="I16" s="681">
        <f>SUM(I17:I19)</f>
        <v>899439.11999999988</v>
      </c>
      <c r="J16" s="754">
        <f t="shared" si="4"/>
        <v>6094407.4800000004</v>
      </c>
      <c r="K16" s="755">
        <f t="shared" si="2"/>
        <v>1291.1661412518431</v>
      </c>
      <c r="L16" s="760">
        <v>961.47</v>
      </c>
      <c r="M16" s="761">
        <v>1166.67</v>
      </c>
      <c r="N16" s="762">
        <v>1416.56</v>
      </c>
    </row>
    <row r="17" spans="1:14" x14ac:dyDescent="0.2">
      <c r="A17" s="29">
        <v>10</v>
      </c>
      <c r="B17" s="26" t="s">
        <v>213</v>
      </c>
      <c r="C17" s="759">
        <v>80.7</v>
      </c>
      <c r="D17" s="759">
        <v>80.7</v>
      </c>
      <c r="E17" s="759">
        <v>4.6500000000000004</v>
      </c>
      <c r="F17" s="681">
        <f t="shared" si="3"/>
        <v>85.350000000000009</v>
      </c>
      <c r="G17" s="759">
        <v>1389301.78</v>
      </c>
      <c r="H17" s="759">
        <v>1382041.95</v>
      </c>
      <c r="I17" s="759">
        <v>73045.47</v>
      </c>
      <c r="J17" s="754">
        <f t="shared" si="4"/>
        <v>1462347.25</v>
      </c>
      <c r="K17" s="755">
        <f t="shared" si="2"/>
        <v>1427.7946201913689</v>
      </c>
      <c r="L17" s="760">
        <v>1137.1300000000001</v>
      </c>
      <c r="M17" s="761">
        <v>1341.83</v>
      </c>
      <c r="N17" s="762">
        <v>1685.17</v>
      </c>
    </row>
    <row r="18" spans="1:14" x14ac:dyDescent="0.2">
      <c r="A18" s="29">
        <v>11</v>
      </c>
      <c r="B18" s="26" t="s">
        <v>165</v>
      </c>
      <c r="C18" s="759">
        <v>182.11</v>
      </c>
      <c r="D18" s="759">
        <v>182.11</v>
      </c>
      <c r="E18" s="759">
        <v>13.06</v>
      </c>
      <c r="F18" s="681">
        <f t="shared" si="3"/>
        <v>195.17000000000002</v>
      </c>
      <c r="G18" s="759">
        <v>2680390.46</v>
      </c>
      <c r="H18" s="759">
        <v>2667730.46</v>
      </c>
      <c r="I18" s="759">
        <v>497542.99</v>
      </c>
      <c r="J18" s="754">
        <f t="shared" si="4"/>
        <v>3177933.45</v>
      </c>
      <c r="K18" s="755">
        <f t="shared" si="2"/>
        <v>1356.9082722754522</v>
      </c>
      <c r="L18" s="760">
        <v>1001.46</v>
      </c>
      <c r="M18" s="761">
        <v>1177</v>
      </c>
      <c r="N18" s="762">
        <v>1385.19</v>
      </c>
    </row>
    <row r="19" spans="1:14" x14ac:dyDescent="0.2">
      <c r="A19" s="29">
        <v>12</v>
      </c>
      <c r="B19" s="26" t="s">
        <v>153</v>
      </c>
      <c r="C19" s="759">
        <v>89.98</v>
      </c>
      <c r="D19" s="759">
        <v>89.17</v>
      </c>
      <c r="E19" s="759">
        <v>22.84</v>
      </c>
      <c r="F19" s="681">
        <f t="shared" si="3"/>
        <v>112.82000000000001</v>
      </c>
      <c r="G19" s="759">
        <v>1125276.1200000001</v>
      </c>
      <c r="H19" s="759">
        <v>1053679.6399999999</v>
      </c>
      <c r="I19" s="759">
        <v>328850.65999999997</v>
      </c>
      <c r="J19" s="754">
        <f t="shared" si="4"/>
        <v>1454126.78</v>
      </c>
      <c r="K19" s="755">
        <f t="shared" si="2"/>
        <v>1074.0757992081783</v>
      </c>
      <c r="L19" s="760">
        <v>773.22</v>
      </c>
      <c r="M19" s="761">
        <v>927.36</v>
      </c>
      <c r="N19" s="762">
        <v>1257.48</v>
      </c>
    </row>
    <row r="20" spans="1:14" x14ac:dyDescent="0.2">
      <c r="A20" s="29">
        <v>13</v>
      </c>
      <c r="B20" s="44" t="s">
        <v>251</v>
      </c>
      <c r="C20" s="759">
        <v>330.09</v>
      </c>
      <c r="D20" s="759">
        <v>298.14</v>
      </c>
      <c r="E20" s="759">
        <v>16.37</v>
      </c>
      <c r="F20" s="681">
        <f t="shared" si="3"/>
        <v>346.46</v>
      </c>
      <c r="G20" s="759">
        <v>5529140.96</v>
      </c>
      <c r="H20" s="759">
        <v>4722182.5</v>
      </c>
      <c r="I20" s="759">
        <v>587227.77</v>
      </c>
      <c r="J20" s="754">
        <f t="shared" si="4"/>
        <v>6116368.7300000004</v>
      </c>
      <c r="K20" s="755">
        <f t="shared" si="2"/>
        <v>1471.1579812003311</v>
      </c>
      <c r="L20" s="760">
        <v>1087.92</v>
      </c>
      <c r="M20" s="761">
        <v>1367.65</v>
      </c>
      <c r="N20" s="762">
        <v>1629.8</v>
      </c>
    </row>
    <row r="21" spans="1:14" ht="31.5" x14ac:dyDescent="0.2">
      <c r="A21" s="29">
        <v>14</v>
      </c>
      <c r="B21" s="44" t="s">
        <v>57</v>
      </c>
      <c r="C21" s="759">
        <v>265.55</v>
      </c>
      <c r="D21" s="759">
        <v>265.55</v>
      </c>
      <c r="E21" s="759">
        <v>16.23</v>
      </c>
      <c r="F21" s="681">
        <f t="shared" si="3"/>
        <v>281.78000000000003</v>
      </c>
      <c r="G21" s="759">
        <v>2381869.5</v>
      </c>
      <c r="H21" s="759">
        <v>2380667.5</v>
      </c>
      <c r="I21" s="759">
        <v>218060.99</v>
      </c>
      <c r="J21" s="754">
        <f t="shared" si="4"/>
        <v>2599930.4900000002</v>
      </c>
      <c r="K21" s="755">
        <f t="shared" si="2"/>
        <v>768.90082392883335</v>
      </c>
      <c r="L21" s="760">
        <v>621.41999999999996</v>
      </c>
      <c r="M21" s="761">
        <v>728.68</v>
      </c>
      <c r="N21" s="762">
        <v>873.29</v>
      </c>
    </row>
    <row r="22" spans="1:14" ht="47.25" x14ac:dyDescent="0.2">
      <c r="A22" s="29">
        <v>15</v>
      </c>
      <c r="B22" s="44" t="s">
        <v>292</v>
      </c>
      <c r="C22" s="681">
        <f>SUM(C23:C26)</f>
        <v>0</v>
      </c>
      <c r="D22" s="681">
        <f>SUM(D23:D26)</f>
        <v>0</v>
      </c>
      <c r="E22" s="681">
        <f>SUM(E23:E26)</f>
        <v>0</v>
      </c>
      <c r="F22" s="681">
        <f>SUM(F27:F27)</f>
        <v>0</v>
      </c>
      <c r="G22" s="681">
        <f>SUM(G23:G26)</f>
        <v>0</v>
      </c>
      <c r="H22" s="681">
        <f>SUM(H23:H26)</f>
        <v>0</v>
      </c>
      <c r="I22" s="681">
        <f>SUM(I23:I26)</f>
        <v>0</v>
      </c>
      <c r="J22" s="754">
        <f>SUM(J23:J26)</f>
        <v>0</v>
      </c>
      <c r="K22" s="755">
        <f t="shared" si="2"/>
        <v>0</v>
      </c>
      <c r="L22" s="766" t="s">
        <v>285</v>
      </c>
      <c r="M22" s="767" t="s">
        <v>285</v>
      </c>
      <c r="N22" s="768" t="s">
        <v>285</v>
      </c>
    </row>
    <row r="23" spans="1:14" x14ac:dyDescent="0.2">
      <c r="A23" s="29" t="s">
        <v>252</v>
      </c>
      <c r="B23" s="45"/>
      <c r="C23" s="759"/>
      <c r="D23" s="759"/>
      <c r="E23" s="759"/>
      <c r="F23" s="681">
        <f t="shared" ref="F23:F29" si="5">C23+E23</f>
        <v>0</v>
      </c>
      <c r="G23" s="759"/>
      <c r="H23" s="759"/>
      <c r="I23" s="759"/>
      <c r="J23" s="754">
        <f>G23+I23</f>
        <v>0</v>
      </c>
      <c r="K23" s="755">
        <f t="shared" si="2"/>
        <v>0</v>
      </c>
      <c r="L23" s="766" t="s">
        <v>285</v>
      </c>
      <c r="M23" s="767" t="s">
        <v>285</v>
      </c>
      <c r="N23" s="768" t="s">
        <v>285</v>
      </c>
    </row>
    <row r="24" spans="1:14" x14ac:dyDescent="0.2">
      <c r="A24" s="29" t="s">
        <v>360</v>
      </c>
      <c r="B24" s="45"/>
      <c r="C24" s="759"/>
      <c r="D24" s="759"/>
      <c r="E24" s="759"/>
      <c r="F24" s="681">
        <f t="shared" si="5"/>
        <v>0</v>
      </c>
      <c r="G24" s="759"/>
      <c r="H24" s="759"/>
      <c r="I24" s="759"/>
      <c r="J24" s="754">
        <f>G24+I24</f>
        <v>0</v>
      </c>
      <c r="K24" s="755">
        <f t="shared" si="2"/>
        <v>0</v>
      </c>
      <c r="L24" s="766" t="s">
        <v>285</v>
      </c>
      <c r="M24" s="767" t="s">
        <v>285</v>
      </c>
      <c r="N24" s="768" t="s">
        <v>285</v>
      </c>
    </row>
    <row r="25" spans="1:14" x14ac:dyDescent="0.2">
      <c r="A25" s="29" t="s">
        <v>361</v>
      </c>
      <c r="B25" s="45"/>
      <c r="C25" s="759"/>
      <c r="D25" s="759"/>
      <c r="E25" s="759"/>
      <c r="F25" s="681">
        <f t="shared" si="5"/>
        <v>0</v>
      </c>
      <c r="G25" s="759"/>
      <c r="H25" s="759"/>
      <c r="I25" s="759"/>
      <c r="J25" s="754">
        <f>G25+I25</f>
        <v>0</v>
      </c>
      <c r="K25" s="755">
        <f t="shared" si="2"/>
        <v>0</v>
      </c>
      <c r="L25" s="766" t="s">
        <v>285</v>
      </c>
      <c r="M25" s="767" t="s">
        <v>285</v>
      </c>
      <c r="N25" s="768" t="s">
        <v>285</v>
      </c>
    </row>
    <row r="26" spans="1:14" ht="16.5" customHeight="1" x14ac:dyDescent="0.2">
      <c r="A26" s="29" t="s">
        <v>362</v>
      </c>
      <c r="B26" s="45"/>
      <c r="C26" s="759"/>
      <c r="D26" s="759"/>
      <c r="E26" s="759"/>
      <c r="F26" s="681">
        <f t="shared" si="5"/>
        <v>0</v>
      </c>
      <c r="G26" s="759"/>
      <c r="H26" s="759"/>
      <c r="I26" s="759"/>
      <c r="J26" s="754">
        <f>G26+I26</f>
        <v>0</v>
      </c>
      <c r="K26" s="755">
        <f t="shared" si="2"/>
        <v>0</v>
      </c>
      <c r="L26" s="766" t="s">
        <v>285</v>
      </c>
      <c r="M26" s="767" t="s">
        <v>285</v>
      </c>
      <c r="N26" s="768" t="s">
        <v>285</v>
      </c>
    </row>
    <row r="27" spans="1:14" x14ac:dyDescent="0.2">
      <c r="A27" s="29"/>
      <c r="B27" s="26"/>
      <c r="C27" s="763"/>
      <c r="D27" s="763"/>
      <c r="E27" s="763"/>
      <c r="F27" s="764">
        <f t="shared" si="5"/>
        <v>0</v>
      </c>
      <c r="G27" s="763"/>
      <c r="H27" s="763"/>
      <c r="I27" s="763"/>
      <c r="J27" s="765"/>
      <c r="K27" s="755"/>
      <c r="L27" s="769"/>
      <c r="M27" s="761"/>
      <c r="N27" s="770"/>
    </row>
    <row r="28" spans="1:14" x14ac:dyDescent="0.2">
      <c r="A28" s="29">
        <v>16</v>
      </c>
      <c r="B28" s="44" t="s">
        <v>58</v>
      </c>
      <c r="C28" s="759">
        <v>179.32</v>
      </c>
      <c r="D28" s="759">
        <v>179.32</v>
      </c>
      <c r="E28" s="759">
        <v>11.39</v>
      </c>
      <c r="F28" s="681">
        <f t="shared" si="5"/>
        <v>190.70999999999998</v>
      </c>
      <c r="G28" s="759">
        <v>1843877.14</v>
      </c>
      <c r="H28" s="759">
        <v>1843877.14</v>
      </c>
      <c r="I28" s="759">
        <v>506720.49</v>
      </c>
      <c r="J28" s="754">
        <f>G28+I28</f>
        <v>2350597.63</v>
      </c>
      <c r="K28" s="755">
        <f t="shared" si="2"/>
        <v>1027.1256663695315</v>
      </c>
      <c r="L28" s="760">
        <v>763.16</v>
      </c>
      <c r="M28" s="761">
        <v>903.72</v>
      </c>
      <c r="N28" s="762">
        <v>1153.83</v>
      </c>
    </row>
    <row r="29" spans="1:14" x14ac:dyDescent="0.2">
      <c r="A29" s="29">
        <v>17</v>
      </c>
      <c r="B29" s="44" t="s">
        <v>59</v>
      </c>
      <c r="C29" s="759"/>
      <c r="D29" s="759"/>
      <c r="E29" s="759">
        <v>46.04</v>
      </c>
      <c r="F29" s="681">
        <f t="shared" si="5"/>
        <v>46.04</v>
      </c>
      <c r="G29" s="759"/>
      <c r="H29" s="759"/>
      <c r="I29" s="759">
        <v>485815.39</v>
      </c>
      <c r="J29" s="754">
        <f>G29+I29</f>
        <v>485815.39</v>
      </c>
      <c r="K29" s="755">
        <f t="shared" si="2"/>
        <v>879.33570445989005</v>
      </c>
      <c r="L29" s="760">
        <v>739.17</v>
      </c>
      <c r="M29" s="761">
        <v>822.06</v>
      </c>
      <c r="N29" s="762">
        <v>990.72</v>
      </c>
    </row>
    <row r="30" spans="1:14" ht="16.5" thickBot="1" x14ac:dyDescent="0.25">
      <c r="A30" s="30">
        <v>18</v>
      </c>
      <c r="B30" s="46" t="s">
        <v>293</v>
      </c>
      <c r="C30" s="388">
        <f t="shared" ref="C30:J30" si="6">C7+C13+C16+C20+C21+C28+C29</f>
        <v>2282.31</v>
      </c>
      <c r="D30" s="388">
        <f t="shared" si="6"/>
        <v>2248.2200000000003</v>
      </c>
      <c r="E30" s="388">
        <f t="shared" si="6"/>
        <v>139.14000000000001</v>
      </c>
      <c r="F30" s="388">
        <f t="shared" si="6"/>
        <v>2421.4500000000003</v>
      </c>
      <c r="G30" s="388">
        <f t="shared" si="6"/>
        <v>37186235.399999999</v>
      </c>
      <c r="H30" s="388">
        <f t="shared" si="6"/>
        <v>35467940.769999996</v>
      </c>
      <c r="I30" s="388">
        <f t="shared" si="6"/>
        <v>4677169.5</v>
      </c>
      <c r="J30" s="771">
        <f t="shared" si="6"/>
        <v>41863404.900000006</v>
      </c>
      <c r="K30" s="772">
        <f t="shared" si="2"/>
        <v>1440.7140659522186</v>
      </c>
      <c r="L30" s="773">
        <v>952.3</v>
      </c>
      <c r="M30" s="774">
        <v>1304.47</v>
      </c>
      <c r="N30" s="775">
        <v>1656.67</v>
      </c>
    </row>
    <row r="31" spans="1:14" ht="16.5" thickBot="1" x14ac:dyDescent="0.25">
      <c r="A31" s="17"/>
      <c r="B31" s="17"/>
      <c r="C31" s="20"/>
      <c r="D31" s="17"/>
      <c r="E31" s="17"/>
      <c r="F31" s="20"/>
      <c r="G31" s="20"/>
      <c r="H31" s="20"/>
      <c r="I31" s="20"/>
      <c r="J31" s="20"/>
    </row>
    <row r="32" spans="1:14" ht="16.5" thickBot="1" x14ac:dyDescent="0.3">
      <c r="A32" s="958" t="s">
        <v>10</v>
      </c>
      <c r="B32" s="959"/>
      <c r="C32" s="959"/>
      <c r="D32" s="959"/>
      <c r="E32" s="959"/>
      <c r="F32" s="959"/>
      <c r="G32" s="959"/>
      <c r="H32" s="959"/>
      <c r="I32" s="959"/>
      <c r="J32" s="959"/>
      <c r="L32" s="511" t="s">
        <v>938</v>
      </c>
      <c r="M32" s="512"/>
      <c r="N32" s="513"/>
    </row>
    <row r="33" spans="1:10" x14ac:dyDescent="0.25">
      <c r="A33" s="967" t="s">
        <v>809</v>
      </c>
      <c r="B33" s="968"/>
      <c r="C33" s="968"/>
      <c r="D33" s="968"/>
      <c r="E33" s="968"/>
      <c r="F33" s="968"/>
      <c r="G33" s="968"/>
      <c r="H33" s="968"/>
      <c r="I33" s="968"/>
      <c r="J33" s="969"/>
    </row>
    <row r="34" spans="1:10" ht="50.25" customHeight="1" x14ac:dyDescent="0.2">
      <c r="B34" s="965" t="s">
        <v>1138</v>
      </c>
      <c r="C34" s="965"/>
      <c r="D34" s="965"/>
      <c r="E34" s="965"/>
      <c r="F34" s="965"/>
      <c r="G34" s="965"/>
      <c r="H34" s="965"/>
      <c r="I34" s="965"/>
      <c r="J34" s="965"/>
    </row>
    <row r="35" spans="1:10" x14ac:dyDescent="0.2">
      <c r="B35" s="525" t="s">
        <v>695</v>
      </c>
      <c r="C35" s="526"/>
      <c r="D35" s="526"/>
      <c r="E35" s="526"/>
      <c r="F35" s="526"/>
      <c r="G35" s="526"/>
      <c r="H35" s="526"/>
      <c r="I35" s="526"/>
      <c r="J35" s="526"/>
    </row>
    <row r="36" spans="1:10" x14ac:dyDescent="0.2">
      <c r="B36" s="525" t="s">
        <v>696</v>
      </c>
      <c r="C36" s="526"/>
      <c r="D36" s="526"/>
      <c r="E36" s="526"/>
      <c r="F36" s="526"/>
      <c r="G36" s="526"/>
      <c r="H36" s="526"/>
      <c r="I36" s="526"/>
      <c r="J36" s="526"/>
    </row>
    <row r="37" spans="1:10" x14ac:dyDescent="0.2">
      <c r="B37" s="525" t="s">
        <v>697</v>
      </c>
      <c r="C37" s="526"/>
      <c r="D37" s="526"/>
      <c r="E37" s="526"/>
      <c r="F37" s="526"/>
      <c r="G37" s="526"/>
      <c r="H37" s="526"/>
      <c r="I37" s="526"/>
      <c r="J37" s="526"/>
    </row>
    <row r="38" spans="1:10" x14ac:dyDescent="0.2">
      <c r="B38" s="527"/>
      <c r="C38" s="526"/>
      <c r="D38" s="526"/>
      <c r="E38" s="526"/>
      <c r="F38" s="526"/>
      <c r="G38" s="526"/>
      <c r="H38" s="526"/>
      <c r="I38" s="526"/>
      <c r="J38" s="526"/>
    </row>
  </sheetData>
  <mergeCells count="19">
    <mergeCell ref="L3:L5"/>
    <mergeCell ref="M3:M5"/>
    <mergeCell ref="N3:N5"/>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0" zoomScaleNormal="80" workbookViewId="0">
      <pane xSplit="2" ySplit="6" topLeftCell="I30" activePane="bottomRight" state="frozen"/>
      <selection pane="topRight" activeCell="C1" sqref="C1"/>
      <selection pane="bottomLeft" activeCell="A7" sqref="A7"/>
      <selection pane="bottomRight" activeCell="A22" sqref="A22"/>
    </sheetView>
  </sheetViews>
  <sheetFormatPr defaultColWidth="9.140625" defaultRowHeight="15.75" x14ac:dyDescent="0.2"/>
  <cols>
    <col min="1" max="1" width="5.5703125" style="23"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2" width="12.42578125" style="18" customWidth="1"/>
    <col min="13" max="13" width="9.7109375" style="18" customWidth="1"/>
    <col min="14" max="14" width="9" style="18" customWidth="1"/>
    <col min="15" max="15" width="8.7109375" style="18" customWidth="1"/>
    <col min="16" max="16" width="3.5703125" style="18" customWidth="1"/>
    <col min="17" max="18" width="3.85546875" style="18" customWidth="1"/>
    <col min="19" max="16384" width="9.140625" style="18"/>
  </cols>
  <sheetData>
    <row r="1" spans="1:15" ht="35.1" customHeight="1" thickBot="1" x14ac:dyDescent="0.25">
      <c r="A1" s="989" t="s">
        <v>998</v>
      </c>
      <c r="B1" s="990"/>
      <c r="C1" s="990"/>
      <c r="D1" s="990"/>
      <c r="E1" s="990"/>
      <c r="F1" s="990"/>
      <c r="G1" s="990"/>
      <c r="H1" s="990"/>
      <c r="I1" s="990"/>
      <c r="J1" s="990"/>
      <c r="K1" s="990"/>
    </row>
    <row r="2" spans="1:15" ht="35.450000000000003" customHeight="1" thickBot="1" x14ac:dyDescent="0.25">
      <c r="A2" s="954" t="s">
        <v>366</v>
      </c>
      <c r="B2" s="955"/>
      <c r="C2" s="955"/>
      <c r="D2" s="955"/>
      <c r="E2" s="955"/>
      <c r="F2" s="955"/>
      <c r="G2" s="955"/>
      <c r="H2" s="955"/>
      <c r="I2" s="955"/>
      <c r="J2" s="955"/>
      <c r="K2" s="955"/>
      <c r="L2" s="515" t="s">
        <v>839</v>
      </c>
      <c r="M2" s="451"/>
      <c r="N2" s="451"/>
      <c r="O2" s="451"/>
    </row>
    <row r="3" spans="1:15" ht="21" customHeight="1" x14ac:dyDescent="0.2">
      <c r="A3" s="971" t="s">
        <v>180</v>
      </c>
      <c r="B3" s="991" t="s">
        <v>959</v>
      </c>
      <c r="C3" s="960" t="s">
        <v>1114</v>
      </c>
      <c r="D3" s="960"/>
      <c r="E3" s="960"/>
      <c r="F3" s="960"/>
      <c r="G3" s="960" t="s">
        <v>713</v>
      </c>
      <c r="H3" s="961" t="s">
        <v>274</v>
      </c>
      <c r="I3" s="960" t="s">
        <v>715</v>
      </c>
      <c r="J3" s="984" t="s">
        <v>716</v>
      </c>
      <c r="K3" s="993" t="s">
        <v>840</v>
      </c>
      <c r="L3" s="987" t="s">
        <v>1113</v>
      </c>
      <c r="M3" s="973" t="s">
        <v>936</v>
      </c>
      <c r="N3" s="976" t="s">
        <v>960</v>
      </c>
      <c r="O3" s="979" t="s">
        <v>937</v>
      </c>
    </row>
    <row r="4" spans="1:15" ht="34.5" customHeight="1" x14ac:dyDescent="0.2">
      <c r="A4" s="972"/>
      <c r="B4" s="992"/>
      <c r="C4" s="966" t="s">
        <v>841</v>
      </c>
      <c r="D4" s="14" t="s">
        <v>274</v>
      </c>
      <c r="E4" s="966" t="s">
        <v>843</v>
      </c>
      <c r="F4" s="966" t="s">
        <v>844</v>
      </c>
      <c r="G4" s="966"/>
      <c r="H4" s="962"/>
      <c r="I4" s="966"/>
      <c r="J4" s="985"/>
      <c r="K4" s="993"/>
      <c r="L4" s="987"/>
      <c r="M4" s="974"/>
      <c r="N4" s="977"/>
      <c r="O4" s="980"/>
    </row>
    <row r="5" spans="1:15" s="70" customFormat="1" ht="63.75" thickBot="1" x14ac:dyDescent="0.25">
      <c r="A5" s="972"/>
      <c r="B5" s="992"/>
      <c r="C5" s="966"/>
      <c r="D5" s="92" t="s">
        <v>842</v>
      </c>
      <c r="E5" s="966"/>
      <c r="F5" s="966"/>
      <c r="G5" s="966"/>
      <c r="H5" s="14" t="s">
        <v>714</v>
      </c>
      <c r="I5" s="966"/>
      <c r="J5" s="985"/>
      <c r="K5" s="994"/>
      <c r="L5" s="988"/>
      <c r="M5" s="975"/>
      <c r="N5" s="978"/>
      <c r="O5" s="981"/>
    </row>
    <row r="6" spans="1:15" s="71" customFormat="1" ht="18" customHeight="1" thickBot="1" x14ac:dyDescent="0.25">
      <c r="A6" s="134"/>
      <c r="B6" s="59"/>
      <c r="C6" s="16" t="s">
        <v>257</v>
      </c>
      <c r="D6" s="16" t="s">
        <v>258</v>
      </c>
      <c r="E6" s="16" t="s">
        <v>259</v>
      </c>
      <c r="F6" s="16" t="s">
        <v>163</v>
      </c>
      <c r="G6" s="16" t="s">
        <v>260</v>
      </c>
      <c r="H6" s="16" t="s">
        <v>261</v>
      </c>
      <c r="I6" s="16" t="s">
        <v>262</v>
      </c>
      <c r="J6" s="308" t="s">
        <v>164</v>
      </c>
      <c r="K6" s="352" t="s">
        <v>807</v>
      </c>
      <c r="L6" s="514" t="s">
        <v>684</v>
      </c>
      <c r="M6" s="452"/>
      <c r="N6" s="452"/>
      <c r="O6" s="452"/>
    </row>
    <row r="7" spans="1:15" s="21" customFormat="1" x14ac:dyDescent="0.2">
      <c r="A7" s="29">
        <v>1</v>
      </c>
      <c r="B7" s="44" t="s">
        <v>253</v>
      </c>
      <c r="C7" s="681">
        <f>SUM(C8:C12)</f>
        <v>332.13</v>
      </c>
      <c r="D7" s="681">
        <f>SUM(D8:D12)</f>
        <v>331.57</v>
      </c>
      <c r="E7" s="681">
        <f>SUM(E8:E12)</f>
        <v>0.98</v>
      </c>
      <c r="F7" s="681">
        <f t="shared" ref="F7:F13" si="0">C7+E7</f>
        <v>333.11</v>
      </c>
      <c r="G7" s="681">
        <f>SUM(G8:G12)</f>
        <v>6330279.9400000013</v>
      </c>
      <c r="H7" s="681">
        <f>SUM(H8:H12)</f>
        <v>6169163.3200000003</v>
      </c>
      <c r="I7" s="681">
        <f>SUM(I8:I12)</f>
        <v>244999.59999999998</v>
      </c>
      <c r="J7" s="754">
        <f t="shared" ref="J7" si="1">G7+I7</f>
        <v>6575279.540000001</v>
      </c>
      <c r="K7" s="755">
        <f>IF(F7=0,0,J7/F7/12)</f>
        <v>1644.921982728428</v>
      </c>
      <c r="L7" s="776">
        <f>IF('T6-Zamestnanci_a_mzdy'!F7-'T6a-Zamestnanci_a_mzdy (ženy)'!F7=0,0,('T6-Zamestnanci_a_mzdy'!J7-'T6a-Zamestnanci_a_mzdy (ženy)'!J7)/('T6-Zamestnanci_a_mzdy'!F7-'T6a-Zamestnanci_a_mzdy (ženy)'!F7)/12)</f>
        <v>1924.3353338153768</v>
      </c>
      <c r="M7" s="777">
        <v>1310.87</v>
      </c>
      <c r="N7" s="778">
        <v>1465.13</v>
      </c>
      <c r="O7" s="779">
        <v>1765.67</v>
      </c>
    </row>
    <row r="8" spans="1:15" ht="31.5" x14ac:dyDescent="0.2">
      <c r="A8" s="29">
        <v>2</v>
      </c>
      <c r="B8" s="26" t="s">
        <v>808</v>
      </c>
      <c r="C8" s="759">
        <v>19.8</v>
      </c>
      <c r="D8" s="759">
        <v>19.7</v>
      </c>
      <c r="E8" s="759">
        <v>0.17</v>
      </c>
      <c r="F8" s="681">
        <f t="shared" si="0"/>
        <v>19.970000000000002</v>
      </c>
      <c r="G8" s="802">
        <v>616675</v>
      </c>
      <c r="H8" s="802">
        <v>574740.9</v>
      </c>
      <c r="I8" s="802">
        <v>50040.83</v>
      </c>
      <c r="J8" s="754">
        <f t="shared" ref="J8:J13" si="2">G8+I8</f>
        <v>666715.82999999996</v>
      </c>
      <c r="K8" s="755">
        <f t="shared" ref="K8:K30" si="3">IF(F8=0,0,J8/F8/12)</f>
        <v>2782.1558587881814</v>
      </c>
      <c r="L8" s="776">
        <f>IF('T6-Zamestnanci_a_mzdy'!F8-'T6a-Zamestnanci_a_mzdy (ženy)'!F8=0,0,('T6-Zamestnanci_a_mzdy'!J8-'T6a-Zamestnanci_a_mzdy (ženy)'!J8)/('T6-Zamestnanci_a_mzdy'!F8-'T6a-Zamestnanci_a_mzdy (ženy)'!F8)/12)</f>
        <v>2698.8724044850496</v>
      </c>
      <c r="M8" s="780">
        <v>1644.5</v>
      </c>
      <c r="N8" s="781">
        <v>2284.12</v>
      </c>
      <c r="O8" s="782">
        <v>3033.72</v>
      </c>
    </row>
    <row r="9" spans="1:15" x14ac:dyDescent="0.2">
      <c r="A9" s="29">
        <v>3</v>
      </c>
      <c r="B9" s="26" t="s">
        <v>209</v>
      </c>
      <c r="C9" s="759">
        <v>105.39</v>
      </c>
      <c r="D9" s="759">
        <v>105.31</v>
      </c>
      <c r="E9" s="759">
        <v>0.12</v>
      </c>
      <c r="F9" s="681">
        <f t="shared" si="0"/>
        <v>105.51</v>
      </c>
      <c r="G9" s="802">
        <v>2265873.04</v>
      </c>
      <c r="H9" s="802">
        <v>2218945.11</v>
      </c>
      <c r="I9" s="802">
        <v>110755.78</v>
      </c>
      <c r="J9" s="754">
        <f t="shared" si="2"/>
        <v>2376628.8199999998</v>
      </c>
      <c r="K9" s="755">
        <f t="shared" si="3"/>
        <v>1877.0960256531764</v>
      </c>
      <c r="L9" s="776">
        <f>IF('T6-Zamestnanci_a_mzdy'!F9-'T6a-Zamestnanci_a_mzdy (ženy)'!F9=0,0,('T6-Zamestnanci_a_mzdy'!J9-'T6a-Zamestnanci_a_mzdy (ženy)'!J9)/('T6-Zamestnanci_a_mzdy'!F9-'T6a-Zamestnanci_a_mzdy (ženy)'!F9)/12)</f>
        <v>2024.2381206286991</v>
      </c>
      <c r="M9" s="780">
        <v>1546.33</v>
      </c>
      <c r="N9" s="781">
        <v>1750.38</v>
      </c>
      <c r="O9" s="782">
        <v>1939.22</v>
      </c>
    </row>
    <row r="10" spans="1:15" x14ac:dyDescent="0.2">
      <c r="A10" s="29">
        <v>4</v>
      </c>
      <c r="B10" s="26" t="s">
        <v>210</v>
      </c>
      <c r="C10" s="759">
        <v>200.8</v>
      </c>
      <c r="D10" s="759">
        <v>200.42</v>
      </c>
      <c r="E10" s="759">
        <v>0.69</v>
      </c>
      <c r="F10" s="681">
        <f t="shared" si="0"/>
        <v>201.49</v>
      </c>
      <c r="G10" s="802">
        <v>3362749.93</v>
      </c>
      <c r="H10" s="802">
        <v>3291495.34</v>
      </c>
      <c r="I10" s="802">
        <v>84202.99</v>
      </c>
      <c r="J10" s="754">
        <f t="shared" si="2"/>
        <v>3446952.9200000004</v>
      </c>
      <c r="K10" s="755">
        <f t="shared" si="3"/>
        <v>1425.6095918738731</v>
      </c>
      <c r="L10" s="776">
        <f>IF('T6-Zamestnanci_a_mzdy'!F10-'T6a-Zamestnanci_a_mzdy (ženy)'!F10=0,0,('T6-Zamestnanci_a_mzdy'!J10-'T6a-Zamestnanci_a_mzdy (ženy)'!J10)/('T6-Zamestnanci_a_mzdy'!F10-'T6a-Zamestnanci_a_mzdy (ženy)'!F10)/12)</f>
        <v>1505.8780930106432</v>
      </c>
      <c r="M10" s="780">
        <v>1225.3800000000001</v>
      </c>
      <c r="N10" s="781">
        <v>1357.22</v>
      </c>
      <c r="O10" s="782">
        <v>1516.68</v>
      </c>
    </row>
    <row r="11" spans="1:15" x14ac:dyDescent="0.2">
      <c r="A11" s="29">
        <v>5</v>
      </c>
      <c r="B11" s="26" t="s">
        <v>211</v>
      </c>
      <c r="C11" s="759">
        <v>2.59</v>
      </c>
      <c r="D11" s="759">
        <v>2.59</v>
      </c>
      <c r="E11" s="759"/>
      <c r="F11" s="681">
        <f t="shared" si="0"/>
        <v>2.59</v>
      </c>
      <c r="G11" s="802">
        <v>33063.86</v>
      </c>
      <c r="H11" s="802">
        <v>32063.86</v>
      </c>
      <c r="I11" s="802"/>
      <c r="J11" s="754">
        <f t="shared" si="2"/>
        <v>33063.86</v>
      </c>
      <c r="K11" s="755">
        <f t="shared" si="3"/>
        <v>1063.8307593307593</v>
      </c>
      <c r="L11" s="776">
        <f>IF('T6-Zamestnanci_a_mzdy'!F11-'T6a-Zamestnanci_a_mzdy (ženy)'!F11=0,0,('T6-Zamestnanci_a_mzdy'!J11-'T6a-Zamestnanci_a_mzdy (ženy)'!J11)/('T6-Zamestnanci_a_mzdy'!F11-'T6a-Zamestnanci_a_mzdy (ženy)'!F11)/12)</f>
        <v>1334.3125816993463</v>
      </c>
      <c r="M11" s="780">
        <v>907.79</v>
      </c>
      <c r="N11" s="781">
        <v>916.5</v>
      </c>
      <c r="O11" s="782">
        <v>953.63</v>
      </c>
    </row>
    <row r="12" spans="1:15" x14ac:dyDescent="0.2">
      <c r="A12" s="29">
        <v>6</v>
      </c>
      <c r="B12" s="26" t="s">
        <v>212</v>
      </c>
      <c r="C12" s="759">
        <v>3.55</v>
      </c>
      <c r="D12" s="759">
        <v>3.55</v>
      </c>
      <c r="E12" s="759"/>
      <c r="F12" s="681">
        <f t="shared" si="0"/>
        <v>3.55</v>
      </c>
      <c r="G12" s="802">
        <v>51918.11</v>
      </c>
      <c r="H12" s="802">
        <v>51918.11</v>
      </c>
      <c r="I12" s="802"/>
      <c r="J12" s="754">
        <f t="shared" si="2"/>
        <v>51918.11</v>
      </c>
      <c r="K12" s="755">
        <f t="shared" si="3"/>
        <v>1218.7349765258216</v>
      </c>
      <c r="L12" s="776">
        <f>IF('T6-Zamestnanci_a_mzdy'!F12-'T6a-Zamestnanci_a_mzdy (ženy)'!F12=0,0,('T6-Zamestnanci_a_mzdy'!J12-'T6a-Zamestnanci_a_mzdy (ženy)'!J12)/('T6-Zamestnanci_a_mzdy'!F12-'T6a-Zamestnanci_a_mzdy (ženy)'!F12)/12)</f>
        <v>1274.7146760343483</v>
      </c>
      <c r="M12" s="780">
        <v>1073.67</v>
      </c>
      <c r="N12" s="781">
        <v>1182.77</v>
      </c>
      <c r="O12" s="782">
        <v>1343.36</v>
      </c>
    </row>
    <row r="13" spans="1:15" x14ac:dyDescent="0.2">
      <c r="A13" s="29">
        <v>7</v>
      </c>
      <c r="B13" s="44" t="s">
        <v>56</v>
      </c>
      <c r="C13" s="759">
        <v>104.41</v>
      </c>
      <c r="D13" s="759">
        <v>104.37</v>
      </c>
      <c r="E13" s="759">
        <v>2.48</v>
      </c>
      <c r="F13" s="681">
        <f t="shared" si="0"/>
        <v>106.89</v>
      </c>
      <c r="G13" s="802">
        <v>1213815.67</v>
      </c>
      <c r="H13" s="802">
        <v>1204627.6200000001</v>
      </c>
      <c r="I13" s="802">
        <v>190626.44</v>
      </c>
      <c r="J13" s="754">
        <f t="shared" si="2"/>
        <v>1404442.1099999999</v>
      </c>
      <c r="K13" s="755">
        <f t="shared" si="3"/>
        <v>1094.9278931611937</v>
      </c>
      <c r="L13" s="776">
        <f>IF('T6-Zamestnanci_a_mzdy'!F13-'T6a-Zamestnanci_a_mzdy (ženy)'!F13=0,0,('T6-Zamestnanci_a_mzdy'!J13-'T6a-Zamestnanci_a_mzdy (ženy)'!J13)/('T6-Zamestnanci_a_mzdy'!F13-'T6a-Zamestnanci_a_mzdy (ženy)'!F13)/12)</f>
        <v>1542.4914739836593</v>
      </c>
      <c r="M13" s="780">
        <v>848.15</v>
      </c>
      <c r="N13" s="781">
        <v>978.51</v>
      </c>
      <c r="O13" s="782">
        <v>1203.72</v>
      </c>
    </row>
    <row r="14" spans="1:15" x14ac:dyDescent="0.2">
      <c r="A14" s="29"/>
      <c r="B14" s="26" t="s">
        <v>274</v>
      </c>
      <c r="C14" s="763"/>
      <c r="D14" s="763"/>
      <c r="E14" s="763"/>
      <c r="F14" s="764"/>
      <c r="G14" s="801"/>
      <c r="H14" s="801"/>
      <c r="I14" s="801"/>
      <c r="J14" s="765"/>
      <c r="K14" s="765"/>
      <c r="L14" s="776"/>
      <c r="M14" s="780"/>
      <c r="N14" s="781"/>
      <c r="O14" s="782"/>
    </row>
    <row r="15" spans="1:15" x14ac:dyDescent="0.2">
      <c r="A15" s="29">
        <v>8</v>
      </c>
      <c r="B15" s="26" t="s">
        <v>60</v>
      </c>
      <c r="C15" s="759">
        <v>30.27</v>
      </c>
      <c r="D15" s="759">
        <v>30.27</v>
      </c>
      <c r="E15" s="759">
        <v>1.31</v>
      </c>
      <c r="F15" s="681">
        <f t="shared" ref="F15:F21" si="4">C15+E15</f>
        <v>31.58</v>
      </c>
      <c r="G15" s="802">
        <v>363847.56</v>
      </c>
      <c r="H15" s="802">
        <v>362647.56</v>
      </c>
      <c r="I15" s="802">
        <v>166655.39000000001</v>
      </c>
      <c r="J15" s="754">
        <f t="shared" ref="J15:J21" si="5">G15+I15</f>
        <v>530502.94999999995</v>
      </c>
      <c r="K15" s="755">
        <f t="shared" si="3"/>
        <v>1399.8916772218702</v>
      </c>
      <c r="L15" s="776">
        <f>IF('T6-Zamestnanci_a_mzdy'!F15-'T6a-Zamestnanci_a_mzdy (ženy)'!F15=0,0,('T6-Zamestnanci_a_mzdy'!J15-'T6a-Zamestnanci_a_mzdy (ženy)'!J15)/('T6-Zamestnanci_a_mzdy'!F15-'T6a-Zamestnanci_a_mzdy (ženy)'!F15)/12)</f>
        <v>1764.9910070331052</v>
      </c>
      <c r="M15" s="780">
        <v>859</v>
      </c>
      <c r="N15" s="781">
        <v>1277.1500000000001</v>
      </c>
      <c r="O15" s="782">
        <v>1665.15</v>
      </c>
    </row>
    <row r="16" spans="1:15" x14ac:dyDescent="0.2">
      <c r="A16" s="29">
        <v>9</v>
      </c>
      <c r="B16" s="44" t="s">
        <v>254</v>
      </c>
      <c r="C16" s="681">
        <f>SUM(C17:C19)</f>
        <v>299.21999999999997</v>
      </c>
      <c r="D16" s="681">
        <f>SUM(D17:D19)</f>
        <v>300.98</v>
      </c>
      <c r="E16" s="681">
        <f>SUM(E17:E19)</f>
        <v>38.71</v>
      </c>
      <c r="F16" s="681">
        <f t="shared" si="4"/>
        <v>337.92999999999995</v>
      </c>
      <c r="G16" s="681">
        <f>SUM(G17:G19)</f>
        <v>4388761.6899999995</v>
      </c>
      <c r="H16" s="681">
        <f>SUM(H17:H19)</f>
        <v>4232061.0999999996</v>
      </c>
      <c r="I16" s="681">
        <f>SUM(I17:I19)</f>
        <v>670691.90999999992</v>
      </c>
      <c r="J16" s="754">
        <f t="shared" si="5"/>
        <v>5059453.5999999996</v>
      </c>
      <c r="K16" s="755">
        <f t="shared" si="3"/>
        <v>1247.6581935114768</v>
      </c>
      <c r="L16" s="776">
        <f>IF('T6-Zamestnanci_a_mzdy'!F16-'T6a-Zamestnanci_a_mzdy (ženy)'!F16=0,0,('T6-Zamestnanci_a_mzdy'!J16-'T6a-Zamestnanci_a_mzdy (ženy)'!J16)/('T6-Zamestnanci_a_mzdy'!F16-'T6a-Zamestnanci_a_mzdy (ženy)'!F16)/12)</f>
        <v>1556.5088732479082</v>
      </c>
      <c r="M16" s="780">
        <v>965.02</v>
      </c>
      <c r="N16" s="781">
        <v>1155.67</v>
      </c>
      <c r="O16" s="782">
        <v>1387.5</v>
      </c>
    </row>
    <row r="17" spans="1:15" x14ac:dyDescent="0.2">
      <c r="A17" s="29">
        <v>10</v>
      </c>
      <c r="B17" s="26" t="s">
        <v>213</v>
      </c>
      <c r="C17" s="759">
        <v>63.34</v>
      </c>
      <c r="D17" s="759">
        <v>63.34</v>
      </c>
      <c r="E17" s="759">
        <v>4.6500000000000004</v>
      </c>
      <c r="F17" s="681">
        <f t="shared" si="4"/>
        <v>67.990000000000009</v>
      </c>
      <c r="G17" s="802">
        <v>987067.4</v>
      </c>
      <c r="H17" s="802">
        <v>980436.27</v>
      </c>
      <c r="I17" s="802">
        <v>73045.47</v>
      </c>
      <c r="J17" s="754">
        <f t="shared" si="5"/>
        <v>1060112.8700000001</v>
      </c>
      <c r="K17" s="755">
        <f t="shared" si="3"/>
        <v>1299.349009658283</v>
      </c>
      <c r="L17" s="776">
        <f>IF('T6-Zamestnanci_a_mzdy'!F17-'T6a-Zamestnanci_a_mzdy (ženy)'!F17=0,0,('T6-Zamestnanci_a_mzdy'!J17-'T6a-Zamestnanci_a_mzdy (ženy)'!J17)/('T6-Zamestnanci_a_mzdy'!F17-'T6a-Zamestnanci_a_mzdy (ženy)'!F17)/12)</f>
        <v>1930.8485983102912</v>
      </c>
      <c r="M17" s="780">
        <v>1108.67</v>
      </c>
      <c r="N17" s="781">
        <v>1316.67</v>
      </c>
      <c r="O17" s="782">
        <v>1494</v>
      </c>
    </row>
    <row r="18" spans="1:15" x14ac:dyDescent="0.2">
      <c r="A18" s="29">
        <v>11</v>
      </c>
      <c r="B18" s="26" t="s">
        <v>165</v>
      </c>
      <c r="C18" s="759">
        <v>167.14</v>
      </c>
      <c r="D18" s="759">
        <v>167.14</v>
      </c>
      <c r="E18" s="759">
        <v>7.81</v>
      </c>
      <c r="F18" s="681">
        <f t="shared" si="4"/>
        <v>174.95</v>
      </c>
      <c r="G18" s="802">
        <v>2427927.29</v>
      </c>
      <c r="H18" s="802">
        <v>2415267.29</v>
      </c>
      <c r="I18" s="802">
        <v>289615.89</v>
      </c>
      <c r="J18" s="754">
        <f t="shared" si="5"/>
        <v>2717543.18</v>
      </c>
      <c r="K18" s="755">
        <f t="shared" si="3"/>
        <v>1294.4380203867775</v>
      </c>
      <c r="L18" s="776">
        <f>IF('T6-Zamestnanci_a_mzdy'!F18-'T6a-Zamestnanci_a_mzdy (ženy)'!F18=0,0,('T6-Zamestnanci_a_mzdy'!J18-'T6a-Zamestnanci_a_mzdy (ženy)'!J18)/('T6-Zamestnanci_a_mzdy'!F18-'T6a-Zamestnanci_a_mzdy (ženy)'!F18)/12)</f>
        <v>1897.42115891856</v>
      </c>
      <c r="M18" s="780">
        <v>1001.46</v>
      </c>
      <c r="N18" s="781">
        <v>1172.46</v>
      </c>
      <c r="O18" s="782">
        <v>1373.5</v>
      </c>
    </row>
    <row r="19" spans="1:15" x14ac:dyDescent="0.2">
      <c r="A19" s="29">
        <v>12</v>
      </c>
      <c r="B19" s="26" t="s">
        <v>153</v>
      </c>
      <c r="C19" s="759">
        <v>68.739999999999995</v>
      </c>
      <c r="D19" s="759">
        <v>70.5</v>
      </c>
      <c r="E19" s="759">
        <v>26.25</v>
      </c>
      <c r="F19" s="681">
        <f t="shared" si="4"/>
        <v>94.99</v>
      </c>
      <c r="G19" s="802">
        <v>973767</v>
      </c>
      <c r="H19" s="802">
        <v>836357.54</v>
      </c>
      <c r="I19" s="802">
        <v>308030.55</v>
      </c>
      <c r="J19" s="754">
        <f t="shared" si="5"/>
        <v>1281797.55</v>
      </c>
      <c r="K19" s="755">
        <f t="shared" si="3"/>
        <v>1124.5021844404675</v>
      </c>
      <c r="L19" s="776">
        <f>IF('T6-Zamestnanci_a_mzdy'!F19-'T6a-Zamestnanci_a_mzdy (ženy)'!F19=0,0,('T6-Zamestnanci_a_mzdy'!J19-'T6a-Zamestnanci_a_mzdy (ženy)'!J19)/('T6-Zamestnanci_a_mzdy'!F19-'T6a-Zamestnanci_a_mzdy (ženy)'!F19)/12)</f>
        <v>805.42732286408602</v>
      </c>
      <c r="M19" s="780">
        <v>779.55</v>
      </c>
      <c r="N19" s="781">
        <v>906.5</v>
      </c>
      <c r="O19" s="782">
        <v>1192.6199999999999</v>
      </c>
    </row>
    <row r="20" spans="1:15" x14ac:dyDescent="0.2">
      <c r="A20" s="29">
        <v>13</v>
      </c>
      <c r="B20" s="44" t="s">
        <v>251</v>
      </c>
      <c r="C20" s="759">
        <v>122.4</v>
      </c>
      <c r="D20" s="759">
        <v>113.77</v>
      </c>
      <c r="E20" s="759">
        <v>3.49</v>
      </c>
      <c r="F20" s="681">
        <f t="shared" si="4"/>
        <v>125.89</v>
      </c>
      <c r="G20" s="802">
        <v>1830391.82</v>
      </c>
      <c r="H20" s="802">
        <v>1655175.42</v>
      </c>
      <c r="I20" s="802">
        <v>120501.24</v>
      </c>
      <c r="J20" s="754">
        <f t="shared" si="5"/>
        <v>1950893.06</v>
      </c>
      <c r="K20" s="755">
        <f t="shared" si="3"/>
        <v>1291.4006010538301</v>
      </c>
      <c r="L20" s="776">
        <f>IF('T6-Zamestnanci_a_mzdy'!F20-'T6a-Zamestnanci_a_mzdy (ženy)'!F20=0,0,('T6-Zamestnanci_a_mzdy'!J20-'T6a-Zamestnanci_a_mzdy (ženy)'!J20)/('T6-Zamestnanci_a_mzdy'!F20-'T6a-Zamestnanci_a_mzdy (ženy)'!F20)/12)</f>
        <v>1573.7542390170922</v>
      </c>
      <c r="M20" s="780">
        <v>980.62</v>
      </c>
      <c r="N20" s="781">
        <v>1235.5</v>
      </c>
      <c r="O20" s="782">
        <v>1474.63</v>
      </c>
    </row>
    <row r="21" spans="1:15" ht="31.5" x14ac:dyDescent="0.2">
      <c r="A21" s="29">
        <v>14</v>
      </c>
      <c r="B21" s="44" t="s">
        <v>57</v>
      </c>
      <c r="C21" s="759">
        <v>142.96</v>
      </c>
      <c r="D21" s="759">
        <v>142.96</v>
      </c>
      <c r="E21" s="759">
        <v>4.2699999999999996</v>
      </c>
      <c r="F21" s="681">
        <f t="shared" si="4"/>
        <v>147.23000000000002</v>
      </c>
      <c r="G21" s="802">
        <v>1166299.82</v>
      </c>
      <c r="H21" s="802">
        <v>1166101.8899999999</v>
      </c>
      <c r="I21" s="802">
        <v>75577.62</v>
      </c>
      <c r="J21" s="754">
        <f t="shared" si="5"/>
        <v>1241877.44</v>
      </c>
      <c r="K21" s="755">
        <f t="shared" si="3"/>
        <v>702.91235934705321</v>
      </c>
      <c r="L21" s="776">
        <f>IF('T6-Zamestnanci_a_mzdy'!F21-'T6a-Zamestnanci_a_mzdy (ženy)'!F21=0,0,('T6-Zamestnanci_a_mzdy'!J21-'T6a-Zamestnanci_a_mzdy (ženy)'!J21)/('T6-Zamestnanci_a_mzdy'!F21-'T6a-Zamestnanci_a_mzdy (ženy)'!F21)/12)</f>
        <v>841.10804533630642</v>
      </c>
      <c r="M21" s="780">
        <v>580.49</v>
      </c>
      <c r="N21" s="781">
        <v>640.66999999999996</v>
      </c>
      <c r="O21" s="782">
        <v>811.04</v>
      </c>
    </row>
    <row r="22" spans="1:15" ht="47.25" x14ac:dyDescent="0.2">
      <c r="A22" s="29">
        <v>15</v>
      </c>
      <c r="B22" s="44" t="s">
        <v>292</v>
      </c>
      <c r="C22" s="681">
        <f>SUM(C23:C26)</f>
        <v>0</v>
      </c>
      <c r="D22" s="681">
        <f>SUM(D23:D26)</f>
        <v>0</v>
      </c>
      <c r="E22" s="681">
        <f>SUM(E23:E26)</f>
        <v>0</v>
      </c>
      <c r="F22" s="681">
        <f>SUM(F27:F27)</f>
        <v>0</v>
      </c>
      <c r="G22" s="681">
        <f>SUM(G23:G26)</f>
        <v>0</v>
      </c>
      <c r="H22" s="681">
        <f>SUM(H23:H26)</f>
        <v>0</v>
      </c>
      <c r="I22" s="681">
        <f>SUM(I23:I26)</f>
        <v>0</v>
      </c>
      <c r="J22" s="754">
        <f>SUM(J23:J26)</f>
        <v>0</v>
      </c>
      <c r="K22" s="755">
        <f t="shared" si="3"/>
        <v>0</v>
      </c>
      <c r="L22" s="776">
        <f>IF('T6-Zamestnanci_a_mzdy'!F22-'T6a-Zamestnanci_a_mzdy (ženy)'!F22=0,0,('T6-Zamestnanci_a_mzdy'!J22-'T6a-Zamestnanci_a_mzdy (ženy)'!J22)/('T6-Zamestnanci_a_mzdy'!F22-'T6a-Zamestnanci_a_mzdy (ženy)'!F22)/12)</f>
        <v>0</v>
      </c>
      <c r="M22" s="783" t="s">
        <v>285</v>
      </c>
      <c r="N22" s="784" t="s">
        <v>285</v>
      </c>
      <c r="O22" s="785" t="s">
        <v>285</v>
      </c>
    </row>
    <row r="23" spans="1:15" x14ac:dyDescent="0.2">
      <c r="A23" s="29" t="s">
        <v>252</v>
      </c>
      <c r="B23" s="45"/>
      <c r="C23" s="759"/>
      <c r="D23" s="759"/>
      <c r="E23" s="759"/>
      <c r="F23" s="681">
        <f t="shared" ref="F23:F29" si="6">C23+E23</f>
        <v>0</v>
      </c>
      <c r="G23" s="759"/>
      <c r="H23" s="759"/>
      <c r="I23" s="759"/>
      <c r="J23" s="754">
        <f>G23+I23</f>
        <v>0</v>
      </c>
      <c r="K23" s="755">
        <f t="shared" si="3"/>
        <v>0</v>
      </c>
      <c r="L23" s="776">
        <f>IF('T6-Zamestnanci_a_mzdy'!F23-'T6a-Zamestnanci_a_mzdy (ženy)'!F23=0,0,('T6-Zamestnanci_a_mzdy'!J23-'T6a-Zamestnanci_a_mzdy (ženy)'!J23)/('T6-Zamestnanci_a_mzdy'!F23-'T6a-Zamestnanci_a_mzdy (ženy)'!F23)/12)</f>
        <v>0</v>
      </c>
      <c r="M23" s="783" t="s">
        <v>285</v>
      </c>
      <c r="N23" s="784" t="s">
        <v>285</v>
      </c>
      <c r="O23" s="785" t="s">
        <v>285</v>
      </c>
    </row>
    <row r="24" spans="1:15" x14ac:dyDescent="0.2">
      <c r="A24" s="29" t="s">
        <v>360</v>
      </c>
      <c r="B24" s="45"/>
      <c r="C24" s="759"/>
      <c r="D24" s="759"/>
      <c r="E24" s="759"/>
      <c r="F24" s="681">
        <f t="shared" si="6"/>
        <v>0</v>
      </c>
      <c r="G24" s="759"/>
      <c r="H24" s="759"/>
      <c r="I24" s="759"/>
      <c r="J24" s="754">
        <f>G24+I24</f>
        <v>0</v>
      </c>
      <c r="K24" s="755">
        <f t="shared" si="3"/>
        <v>0</v>
      </c>
      <c r="L24" s="776">
        <f>IF('T6-Zamestnanci_a_mzdy'!F24-'T6a-Zamestnanci_a_mzdy (ženy)'!F24=0,0,('T6-Zamestnanci_a_mzdy'!J24-'T6a-Zamestnanci_a_mzdy (ženy)'!J24)/('T6-Zamestnanci_a_mzdy'!F24-'T6a-Zamestnanci_a_mzdy (ženy)'!F24)/12)</f>
        <v>0</v>
      </c>
      <c r="M24" s="783" t="s">
        <v>285</v>
      </c>
      <c r="N24" s="784" t="s">
        <v>285</v>
      </c>
      <c r="O24" s="785" t="s">
        <v>285</v>
      </c>
    </row>
    <row r="25" spans="1:15" x14ac:dyDescent="0.2">
      <c r="A25" s="29" t="s">
        <v>361</v>
      </c>
      <c r="B25" s="45"/>
      <c r="C25" s="759"/>
      <c r="D25" s="759"/>
      <c r="E25" s="759"/>
      <c r="F25" s="681">
        <f t="shared" si="6"/>
        <v>0</v>
      </c>
      <c r="G25" s="759"/>
      <c r="H25" s="759"/>
      <c r="I25" s="759"/>
      <c r="J25" s="754">
        <f>G25+I25</f>
        <v>0</v>
      </c>
      <c r="K25" s="755">
        <f t="shared" si="3"/>
        <v>0</v>
      </c>
      <c r="L25" s="776">
        <f>IF('T6-Zamestnanci_a_mzdy'!F25-'T6a-Zamestnanci_a_mzdy (ženy)'!F25=0,0,('T6-Zamestnanci_a_mzdy'!J25-'T6a-Zamestnanci_a_mzdy (ženy)'!J25)/('T6-Zamestnanci_a_mzdy'!F25-'T6a-Zamestnanci_a_mzdy (ženy)'!F25)/12)</f>
        <v>0</v>
      </c>
      <c r="M25" s="783" t="s">
        <v>285</v>
      </c>
      <c r="N25" s="784" t="s">
        <v>285</v>
      </c>
      <c r="O25" s="785" t="s">
        <v>285</v>
      </c>
    </row>
    <row r="26" spans="1:15" ht="16.5" customHeight="1" x14ac:dyDescent="0.2">
      <c r="A26" s="29" t="s">
        <v>362</v>
      </c>
      <c r="B26" s="45"/>
      <c r="C26" s="759"/>
      <c r="D26" s="759"/>
      <c r="E26" s="759"/>
      <c r="F26" s="681">
        <f t="shared" si="6"/>
        <v>0</v>
      </c>
      <c r="G26" s="759"/>
      <c r="H26" s="759"/>
      <c r="I26" s="759"/>
      <c r="J26" s="754">
        <f>G26+I26</f>
        <v>0</v>
      </c>
      <c r="K26" s="755">
        <f t="shared" si="3"/>
        <v>0</v>
      </c>
      <c r="L26" s="776">
        <f>IF('T6-Zamestnanci_a_mzdy'!F26-'T6a-Zamestnanci_a_mzdy (ženy)'!F26=0,0,('T6-Zamestnanci_a_mzdy'!J26-'T6a-Zamestnanci_a_mzdy (ženy)'!J26)/('T6-Zamestnanci_a_mzdy'!F26-'T6a-Zamestnanci_a_mzdy (ženy)'!F26)/12)</f>
        <v>0</v>
      </c>
      <c r="M26" s="783" t="s">
        <v>285</v>
      </c>
      <c r="N26" s="784" t="s">
        <v>285</v>
      </c>
      <c r="O26" s="785" t="s">
        <v>285</v>
      </c>
    </row>
    <row r="27" spans="1:15" x14ac:dyDescent="0.2">
      <c r="A27" s="29"/>
      <c r="B27" s="26"/>
      <c r="C27" s="763"/>
      <c r="D27" s="763"/>
      <c r="E27" s="763"/>
      <c r="F27" s="764">
        <f t="shared" si="6"/>
        <v>0</v>
      </c>
      <c r="G27" s="763"/>
      <c r="H27" s="763"/>
      <c r="I27" s="763"/>
      <c r="J27" s="765"/>
      <c r="K27" s="765"/>
      <c r="L27" s="776"/>
      <c r="M27" s="786"/>
      <c r="N27" s="781"/>
      <c r="O27" s="787"/>
    </row>
    <row r="28" spans="1:15" x14ac:dyDescent="0.2">
      <c r="A28" s="29">
        <v>16</v>
      </c>
      <c r="B28" s="44" t="s">
        <v>58</v>
      </c>
      <c r="C28" s="759">
        <v>111.88</v>
      </c>
      <c r="D28" s="759">
        <v>111.88</v>
      </c>
      <c r="E28" s="759">
        <v>10.39</v>
      </c>
      <c r="F28" s="681">
        <f t="shared" si="6"/>
        <v>122.27</v>
      </c>
      <c r="G28" s="802">
        <v>1113344.67</v>
      </c>
      <c r="H28" s="802">
        <v>1113344.67</v>
      </c>
      <c r="I28" s="802">
        <v>350721.39</v>
      </c>
      <c r="J28" s="754">
        <f>G28+I28</f>
        <v>1464066.06</v>
      </c>
      <c r="K28" s="755">
        <f t="shared" si="3"/>
        <v>997.83679561625922</v>
      </c>
      <c r="L28" s="776">
        <f>IF('T6-Zamestnanci_a_mzdy'!F28-'T6a-Zamestnanci_a_mzdy (ženy)'!F28=0,0,('T6-Zamestnanci_a_mzdy'!J28-'T6a-Zamestnanci_a_mzdy (ženy)'!J28)/('T6-Zamestnanci_a_mzdy'!F28-'T6a-Zamestnanci_a_mzdy (ženy)'!F28)/12)</f>
        <v>1079.4510641924801</v>
      </c>
      <c r="M28" s="780">
        <v>722.8</v>
      </c>
      <c r="N28" s="781">
        <v>897.04</v>
      </c>
      <c r="O28" s="782">
        <v>1204.55</v>
      </c>
    </row>
    <row r="29" spans="1:15" x14ac:dyDescent="0.2">
      <c r="A29" s="29">
        <v>17</v>
      </c>
      <c r="B29" s="44" t="s">
        <v>59</v>
      </c>
      <c r="C29" s="759"/>
      <c r="D29" s="759"/>
      <c r="E29" s="759">
        <v>37.82</v>
      </c>
      <c r="F29" s="681">
        <f t="shared" si="6"/>
        <v>37.82</v>
      </c>
      <c r="G29" s="802"/>
      <c r="H29" s="802"/>
      <c r="I29" s="802">
        <v>394239.48</v>
      </c>
      <c r="J29" s="754">
        <f>G29+I29</f>
        <v>394239.48</v>
      </c>
      <c r="K29" s="755">
        <f t="shared" si="3"/>
        <v>868.67503966155471</v>
      </c>
      <c r="L29" s="776">
        <f>IF('T6-Zamestnanci_a_mzdy'!F29-'T6a-Zamestnanci_a_mzdy (ženy)'!F29=0,0,('T6-Zamestnanci_a_mzdy'!J29-'T6a-Zamestnanci_a_mzdy (ženy)'!J29)/('T6-Zamestnanci_a_mzdy'!F29-'T6a-Zamestnanci_a_mzdy (ženy)'!F29)/12)</f>
        <v>928.3851378751018</v>
      </c>
      <c r="M29" s="780">
        <v>730.96</v>
      </c>
      <c r="N29" s="781">
        <v>803.92</v>
      </c>
      <c r="O29" s="782">
        <v>990.72</v>
      </c>
    </row>
    <row r="30" spans="1:15" ht="16.5" thickBot="1" x14ac:dyDescent="0.25">
      <c r="A30" s="30">
        <v>18</v>
      </c>
      <c r="B30" s="46" t="s">
        <v>293</v>
      </c>
      <c r="C30" s="388">
        <f t="shared" ref="C30:J30" si="7">C7+C13+C16+C20+C21+C28+C29</f>
        <v>1113</v>
      </c>
      <c r="D30" s="388">
        <f t="shared" si="7"/>
        <v>1105.5300000000002</v>
      </c>
      <c r="E30" s="388">
        <f t="shared" si="7"/>
        <v>98.140000000000015</v>
      </c>
      <c r="F30" s="388">
        <f t="shared" si="7"/>
        <v>1211.1399999999999</v>
      </c>
      <c r="G30" s="388">
        <f t="shared" si="7"/>
        <v>16042893.610000001</v>
      </c>
      <c r="H30" s="388">
        <f t="shared" si="7"/>
        <v>15540474.02</v>
      </c>
      <c r="I30" s="388">
        <f t="shared" si="7"/>
        <v>2047357.6800000002</v>
      </c>
      <c r="J30" s="771">
        <f t="shared" si="7"/>
        <v>18090251.289999999</v>
      </c>
      <c r="K30" s="772">
        <f t="shared" si="3"/>
        <v>1244.7123708517045</v>
      </c>
      <c r="L30" s="788">
        <f>IF('T6-Zamestnanci_a_mzdy'!F30-'T6a-Zamestnanci_a_mzdy (ženy)'!F30=0,0,('T6-Zamestnanci_a_mzdy'!J30-'T6a-Zamestnanci_a_mzdy (ženy)'!J30)/('T6-Zamestnanci_a_mzdy'!F30-'T6a-Zamestnanci_a_mzdy (ženy)'!F30)/12)</f>
        <v>1636.8501740600893</v>
      </c>
      <c r="M30" s="789">
        <v>873.33</v>
      </c>
      <c r="N30" s="790">
        <v>1170.42</v>
      </c>
      <c r="O30" s="791">
        <v>1462.76</v>
      </c>
    </row>
    <row r="31" spans="1:15" x14ac:dyDescent="0.2">
      <c r="A31" s="17"/>
      <c r="B31" s="17"/>
      <c r="C31" s="20"/>
      <c r="D31" s="17"/>
      <c r="E31" s="17"/>
      <c r="F31" s="20"/>
      <c r="G31" s="20"/>
      <c r="H31" s="20"/>
      <c r="I31" s="20"/>
      <c r="J31" s="20"/>
      <c r="L31" s="800"/>
      <c r="M31" s="453"/>
      <c r="N31" s="453"/>
      <c r="O31" s="453"/>
    </row>
    <row r="32" spans="1:15" x14ac:dyDescent="0.25">
      <c r="A32" s="958" t="s">
        <v>10</v>
      </c>
      <c r="B32" s="959"/>
      <c r="C32" s="959"/>
      <c r="D32" s="959"/>
      <c r="E32" s="959"/>
      <c r="F32" s="959"/>
      <c r="G32" s="959"/>
      <c r="H32" s="959"/>
      <c r="I32" s="959"/>
      <c r="J32" s="986"/>
      <c r="L32" s="453"/>
      <c r="M32" s="453"/>
      <c r="N32" s="453"/>
      <c r="O32" s="453"/>
    </row>
    <row r="33" spans="1:15" x14ac:dyDescent="0.25">
      <c r="A33" s="967" t="s">
        <v>809</v>
      </c>
      <c r="B33" s="968"/>
      <c r="C33" s="968"/>
      <c r="D33" s="968"/>
      <c r="E33" s="968"/>
      <c r="F33" s="968"/>
      <c r="G33" s="968"/>
      <c r="H33" s="968"/>
      <c r="I33" s="968"/>
      <c r="J33" s="969"/>
      <c r="L33" s="453"/>
      <c r="M33" s="454" t="s">
        <v>938</v>
      </c>
      <c r="N33" s="453"/>
      <c r="O33" s="453"/>
    </row>
    <row r="34" spans="1:15" ht="50.25" customHeight="1" x14ac:dyDescent="0.2">
      <c r="B34" s="965" t="s">
        <v>1138</v>
      </c>
      <c r="C34" s="965"/>
      <c r="D34" s="965"/>
      <c r="E34" s="965"/>
      <c r="F34" s="965"/>
      <c r="G34" s="965"/>
      <c r="H34" s="965"/>
      <c r="I34" s="965"/>
      <c r="J34" s="965"/>
      <c r="L34" s="453"/>
      <c r="M34" s="453"/>
      <c r="N34" s="453"/>
      <c r="O34" s="453"/>
    </row>
    <row r="35" spans="1:15" x14ac:dyDescent="0.2">
      <c r="B35" s="525" t="s">
        <v>695</v>
      </c>
      <c r="C35" s="526"/>
      <c r="D35" s="526"/>
      <c r="E35" s="526"/>
      <c r="F35" s="526"/>
      <c r="G35" s="526"/>
      <c r="H35" s="526"/>
      <c r="I35" s="526"/>
      <c r="J35" s="526"/>
      <c r="L35" s="453"/>
      <c r="M35" s="453"/>
      <c r="N35" s="453"/>
      <c r="O35" s="453"/>
    </row>
    <row r="36" spans="1:15" x14ac:dyDescent="0.2">
      <c r="B36" s="525" t="s">
        <v>696</v>
      </c>
      <c r="C36" s="526"/>
      <c r="D36" s="526"/>
      <c r="E36" s="526"/>
      <c r="F36" s="526"/>
      <c r="G36" s="526"/>
      <c r="H36" s="526"/>
      <c r="I36" s="526"/>
      <c r="J36" s="526"/>
    </row>
    <row r="37" spans="1:15" x14ac:dyDescent="0.2">
      <c r="B37" s="525" t="s">
        <v>697</v>
      </c>
      <c r="C37" s="526"/>
      <c r="D37" s="526"/>
      <c r="E37" s="526"/>
      <c r="F37" s="526"/>
      <c r="G37" s="526"/>
      <c r="H37" s="526"/>
      <c r="I37" s="526"/>
      <c r="J37" s="526"/>
    </row>
  </sheetData>
  <mergeCells count="20">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 ref="N3:N5"/>
    <mergeCell ref="O3:O5"/>
    <mergeCell ref="A32:J32"/>
    <mergeCell ref="A33:J33"/>
    <mergeCell ref="L3:L5"/>
  </mergeCells>
  <printOptions gridLines="1"/>
  <pageMargins left="0.2" right="0.19" top="0.8" bottom="0.39370078740157483" header="0.51181102362204722" footer="0.27559055118110237"/>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115" zoomScaleNormal="115" workbookViewId="0">
      <pane xSplit="2" ySplit="4" topLeftCell="C13" activePane="bottomRight" state="frozen"/>
      <selection pane="topRight" activeCell="C1" sqref="C1"/>
      <selection pane="bottomLeft" activeCell="A7" sqref="A7"/>
      <selection pane="bottomRight" activeCell="F4" sqref="F4:L9"/>
    </sheetView>
  </sheetViews>
  <sheetFormatPr defaultColWidth="9.140625" defaultRowHeight="15.75" x14ac:dyDescent="0.25"/>
  <cols>
    <col min="1" max="1" width="9.140625" style="157"/>
    <col min="2" max="2" width="69.7109375" style="157" customWidth="1"/>
    <col min="3" max="3" width="18" style="157" bestFit="1" customWidth="1"/>
    <col min="4" max="4" width="20.28515625" style="157" bestFit="1" customWidth="1"/>
    <col min="5" max="5" width="26.42578125" style="157" customWidth="1"/>
    <col min="6" max="6" width="15.42578125" style="157" customWidth="1"/>
    <col min="7" max="7" width="17.140625" style="157" customWidth="1"/>
    <col min="8" max="16384" width="9.140625" style="157"/>
  </cols>
  <sheetData>
    <row r="1" spans="1:7" ht="39.75" customHeight="1" thickBot="1" x14ac:dyDescent="0.3">
      <c r="A1" s="995" t="s">
        <v>1219</v>
      </c>
      <c r="B1" s="996"/>
      <c r="C1" s="996"/>
      <c r="D1" s="996"/>
      <c r="E1" s="997"/>
    </row>
    <row r="2" spans="1:7" ht="44.25" customHeight="1" thickBot="1" x14ac:dyDescent="0.3">
      <c r="A2" s="998" t="s">
        <v>373</v>
      </c>
      <c r="B2" s="999"/>
      <c r="C2" s="999"/>
      <c r="D2" s="999"/>
      <c r="E2" s="1000"/>
    </row>
    <row r="3" spans="1:7" ht="65.25" customHeight="1" x14ac:dyDescent="0.25">
      <c r="A3" s="415" t="s">
        <v>180</v>
      </c>
      <c r="B3" s="416" t="s">
        <v>299</v>
      </c>
      <c r="C3" s="417" t="s">
        <v>916</v>
      </c>
      <c r="D3" s="417" t="s">
        <v>958</v>
      </c>
      <c r="E3" s="418" t="s">
        <v>755</v>
      </c>
    </row>
    <row r="4" spans="1:7" ht="26.25" customHeight="1" thickBot="1" x14ac:dyDescent="0.3">
      <c r="A4" s="419"/>
      <c r="B4" s="414"/>
      <c r="C4" s="413" t="s">
        <v>257</v>
      </c>
      <c r="D4" s="413" t="s">
        <v>258</v>
      </c>
      <c r="E4" s="635" t="s">
        <v>915</v>
      </c>
      <c r="F4" s="636"/>
      <c r="G4" s="637"/>
    </row>
    <row r="5" spans="1:7" ht="35.25" customHeight="1" thickTop="1" thickBot="1" x14ac:dyDescent="0.3">
      <c r="A5" s="423">
        <v>1</v>
      </c>
      <c r="B5" s="424" t="s">
        <v>1218</v>
      </c>
      <c r="C5" s="425">
        <v>3768586.41</v>
      </c>
      <c r="D5" s="429">
        <v>21627</v>
      </c>
      <c r="E5" s="426">
        <f>C5+D5</f>
        <v>3790213.41</v>
      </c>
      <c r="F5" s="440"/>
      <c r="G5" s="634"/>
    </row>
    <row r="6" spans="1:7" ht="30.75" customHeight="1" thickTop="1" x14ac:dyDescent="0.25">
      <c r="A6" s="421">
        <v>2</v>
      </c>
      <c r="B6" s="422" t="s">
        <v>1224</v>
      </c>
      <c r="C6" s="429">
        <v>5062</v>
      </c>
      <c r="D6" s="429">
        <v>28</v>
      </c>
      <c r="E6" s="430">
        <f>C6+D6</f>
        <v>5090</v>
      </c>
      <c r="F6" s="427"/>
    </row>
    <row r="7" spans="1:7" ht="31.5" customHeight="1" thickBot="1" x14ac:dyDescent="0.3">
      <c r="A7" s="264">
        <v>3</v>
      </c>
      <c r="B7" s="420" t="s">
        <v>1225</v>
      </c>
      <c r="C7" s="428">
        <f>IF(C6=0,0,+C5/C6)</f>
        <v>744.48565981825368</v>
      </c>
      <c r="D7" s="428">
        <f t="shared" ref="D7:E7" si="0">IF(D6=0,0,+D5/D6)</f>
        <v>772.39285714285711</v>
      </c>
      <c r="E7" s="431">
        <f t="shared" si="0"/>
        <v>744.63917681728879</v>
      </c>
    </row>
    <row r="9" spans="1:7" x14ac:dyDescent="0.25">
      <c r="A9" s="432"/>
    </row>
    <row r="12" spans="1:7" ht="48.75" customHeight="1" x14ac:dyDescent="0.25">
      <c r="A12" s="1001"/>
      <c r="B12" s="1001"/>
    </row>
  </sheetData>
  <mergeCells count="3">
    <mergeCell ref="A1:E1"/>
    <mergeCell ref="A2:E2"/>
    <mergeCell ref="A12:B12"/>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28"/>
  <sheetViews>
    <sheetView zoomScaleNormal="100" workbookViewId="0">
      <pane xSplit="2" ySplit="5" topLeftCell="C15" activePane="bottomRight" state="frozen"/>
      <selection pane="topRight" activeCell="C1" sqref="C1"/>
      <selection pane="bottomLeft" activeCell="A6" sqref="A6"/>
      <selection pane="bottomRight" activeCell="B21" sqref="B21:AX38"/>
    </sheetView>
  </sheetViews>
  <sheetFormatPr defaultColWidth="9.140625" defaultRowHeight="15.75" x14ac:dyDescent="0.2"/>
  <cols>
    <col min="1" max="1" width="8.140625" style="18" customWidth="1"/>
    <col min="2" max="2" width="93.140625" style="66" customWidth="1"/>
    <col min="3" max="3" width="17.28515625" style="18" customWidth="1"/>
    <col min="4" max="4" width="17.140625" style="18" customWidth="1"/>
    <col min="5" max="5" width="15.7109375" style="18" customWidth="1"/>
    <col min="6" max="6" width="18" style="18" customWidth="1"/>
    <col min="7" max="7" width="7.5703125" style="18" customWidth="1"/>
    <col min="8" max="8" width="11.85546875" style="18" bestFit="1" customWidth="1"/>
    <col min="9" max="9" width="13.140625" style="18" bestFit="1" customWidth="1"/>
    <col min="10" max="16384" width="9.140625" style="18"/>
  </cols>
  <sheetData>
    <row r="1" spans="1:8" ht="50.1" customHeight="1" thickBot="1" x14ac:dyDescent="0.25">
      <c r="A1" s="1008" t="s">
        <v>999</v>
      </c>
      <c r="B1" s="1009"/>
      <c r="C1" s="1009"/>
      <c r="D1" s="1009"/>
      <c r="E1" s="1009"/>
      <c r="F1" s="1010"/>
      <c r="G1" s="160"/>
      <c r="H1" s="23"/>
    </row>
    <row r="2" spans="1:8" ht="36.75" customHeight="1" x14ac:dyDescent="0.2">
      <c r="A2" s="954" t="s">
        <v>366</v>
      </c>
      <c r="B2" s="1019"/>
      <c r="C2" s="1020" t="s">
        <v>779</v>
      </c>
      <c r="D2" s="1020"/>
      <c r="E2" s="1020"/>
      <c r="F2" s="1021"/>
      <c r="G2" s="161"/>
    </row>
    <row r="3" spans="1:8" x14ac:dyDescent="0.2">
      <c r="A3" s="1017" t="s">
        <v>180</v>
      </c>
      <c r="B3" s="1015" t="s">
        <v>299</v>
      </c>
      <c r="C3" s="1011">
        <v>2018</v>
      </c>
      <c r="D3" s="1012"/>
      <c r="E3" s="1013">
        <v>2019</v>
      </c>
      <c r="F3" s="1014"/>
      <c r="G3" s="161"/>
    </row>
    <row r="4" spans="1:8" ht="69" customHeight="1" x14ac:dyDescent="0.2">
      <c r="A4" s="1018"/>
      <c r="B4" s="1016"/>
      <c r="C4" s="111" t="s">
        <v>717</v>
      </c>
      <c r="D4" s="111" t="s">
        <v>167</v>
      </c>
      <c r="E4" s="111" t="s">
        <v>717</v>
      </c>
      <c r="F4" s="28" t="s">
        <v>248</v>
      </c>
      <c r="G4" s="161"/>
    </row>
    <row r="5" spans="1:8" x14ac:dyDescent="0.2">
      <c r="A5" s="116"/>
      <c r="B5" s="86"/>
      <c r="C5" s="35" t="s">
        <v>257</v>
      </c>
      <c r="D5" s="35" t="s">
        <v>258</v>
      </c>
      <c r="E5" s="83" t="s">
        <v>259</v>
      </c>
      <c r="F5" s="93" t="s">
        <v>266</v>
      </c>
      <c r="G5" s="161"/>
    </row>
    <row r="6" spans="1:8" ht="38.25" customHeight="1" x14ac:dyDescent="0.2">
      <c r="A6" s="29">
        <v>1</v>
      </c>
      <c r="B6" s="87" t="s">
        <v>65</v>
      </c>
      <c r="C6" s="652">
        <v>767815</v>
      </c>
      <c r="D6" s="144" t="s">
        <v>285</v>
      </c>
      <c r="E6" s="143">
        <v>593635</v>
      </c>
      <c r="F6" s="145" t="s">
        <v>285</v>
      </c>
      <c r="G6" s="161"/>
    </row>
    <row r="7" spans="1:8" ht="38.25" customHeight="1" x14ac:dyDescent="0.2">
      <c r="A7" s="29">
        <f>A6+1</f>
        <v>2</v>
      </c>
      <c r="B7" s="87" t="s">
        <v>309</v>
      </c>
      <c r="C7" s="144" t="s">
        <v>285</v>
      </c>
      <c r="D7" s="654">
        <v>4688</v>
      </c>
      <c r="E7" s="144" t="s">
        <v>285</v>
      </c>
      <c r="F7" s="77">
        <v>3576</v>
      </c>
      <c r="G7" s="161"/>
    </row>
    <row r="8" spans="1:8" ht="38.25" customHeight="1" x14ac:dyDescent="0.2">
      <c r="A8" s="29">
        <f>A7+1</f>
        <v>3</v>
      </c>
      <c r="B8" s="87" t="s">
        <v>746</v>
      </c>
      <c r="C8" s="144" t="s">
        <v>285</v>
      </c>
      <c r="D8" s="654">
        <v>671</v>
      </c>
      <c r="E8" s="144" t="s">
        <v>285</v>
      </c>
      <c r="F8" s="77">
        <v>584</v>
      </c>
      <c r="G8" s="161"/>
    </row>
    <row r="9" spans="1:8" ht="35.25" customHeight="1" x14ac:dyDescent="0.2">
      <c r="A9" s="29">
        <f>A8+1</f>
        <v>4</v>
      </c>
      <c r="B9" s="63" t="s">
        <v>673</v>
      </c>
      <c r="C9" s="653">
        <v>329984.96999999997</v>
      </c>
      <c r="D9" s="144" t="s">
        <v>285</v>
      </c>
      <c r="E9" s="146">
        <f>+C11</f>
        <v>262080.96999999997</v>
      </c>
      <c r="F9" s="145" t="s">
        <v>285</v>
      </c>
      <c r="G9" s="161"/>
    </row>
    <row r="10" spans="1:8" ht="37.5" customHeight="1" x14ac:dyDescent="0.2">
      <c r="A10" s="29">
        <f>A9+1</f>
        <v>5</v>
      </c>
      <c r="B10" s="63" t="s">
        <v>743</v>
      </c>
      <c r="C10" s="653">
        <v>699911</v>
      </c>
      <c r="D10" s="144" t="s">
        <v>285</v>
      </c>
      <c r="E10" s="147">
        <v>730978</v>
      </c>
      <c r="F10" s="145" t="s">
        <v>285</v>
      </c>
      <c r="G10" s="161"/>
    </row>
    <row r="11" spans="1:8" ht="33" customHeight="1" x14ac:dyDescent="0.2">
      <c r="A11" s="29">
        <v>6</v>
      </c>
      <c r="B11" s="63" t="s">
        <v>222</v>
      </c>
      <c r="C11" s="148">
        <f>+C9+C10-C6</f>
        <v>262080.96999999997</v>
      </c>
      <c r="D11" s="144" t="s">
        <v>285</v>
      </c>
      <c r="E11" s="146">
        <f>+E9+E10-E6</f>
        <v>399423.97</v>
      </c>
      <c r="F11" s="145" t="s">
        <v>285</v>
      </c>
      <c r="G11" s="161"/>
    </row>
    <row r="12" spans="1:8" ht="36" customHeight="1" thickBot="1" x14ac:dyDescent="0.25">
      <c r="A12" s="30">
        <v>7</v>
      </c>
      <c r="B12" s="75" t="s">
        <v>223</v>
      </c>
      <c r="C12" s="149">
        <f>IF(C6=0,0,C6/D7)</f>
        <v>163.78306313993173</v>
      </c>
      <c r="D12" s="150" t="s">
        <v>285</v>
      </c>
      <c r="E12" s="149">
        <f>IF(E6=0,0,E6/F7)</f>
        <v>166.00531319910513</v>
      </c>
      <c r="F12" s="151" t="s">
        <v>285</v>
      </c>
      <c r="G12" s="161"/>
    </row>
    <row r="13" spans="1:8" x14ac:dyDescent="0.2">
      <c r="B13" s="20"/>
      <c r="G13" s="161"/>
    </row>
    <row r="14" spans="1:8" x14ac:dyDescent="0.2">
      <c r="A14" s="1002" t="s">
        <v>73</v>
      </c>
      <c r="B14" s="1003"/>
      <c r="C14" s="1003"/>
      <c r="D14" s="1003"/>
      <c r="E14" s="1003"/>
      <c r="F14" s="1004"/>
      <c r="G14" s="161"/>
    </row>
    <row r="15" spans="1:8" x14ac:dyDescent="0.2">
      <c r="A15" s="1005" t="s">
        <v>348</v>
      </c>
      <c r="B15" s="1006"/>
      <c r="C15" s="1006"/>
      <c r="D15" s="1006"/>
      <c r="E15" s="1006"/>
      <c r="F15" s="1007"/>
      <c r="G15" s="161"/>
    </row>
    <row r="21" spans="2:6" x14ac:dyDescent="0.2">
      <c r="D21" s="797"/>
      <c r="E21" s="798"/>
      <c r="F21" s="799"/>
    </row>
    <row r="23" spans="2:6" x14ac:dyDescent="0.2">
      <c r="B23" s="792"/>
      <c r="C23" s="675"/>
      <c r="D23" s="675"/>
      <c r="E23" s="667"/>
      <c r="F23" s="675"/>
    </row>
    <row r="24" spans="2:6" x14ac:dyDescent="0.2">
      <c r="B24" s="792"/>
      <c r="C24" s="675"/>
      <c r="D24" s="675"/>
      <c r="E24" s="667"/>
      <c r="F24" s="675"/>
    </row>
    <row r="25" spans="2:6" x14ac:dyDescent="0.2">
      <c r="B25" s="792"/>
      <c r="C25" s="675"/>
      <c r="D25" s="675"/>
      <c r="E25" s="793"/>
    </row>
    <row r="28" spans="2:6" x14ac:dyDescent="0.2">
      <c r="D28" s="667"/>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L39"/>
  <sheetViews>
    <sheetView zoomScaleNormal="100" workbookViewId="0">
      <pane xSplit="2" ySplit="5" topLeftCell="E25" activePane="bottomRight" state="frozen"/>
      <selection pane="topRight" activeCell="C1" sqref="C1"/>
      <selection pane="bottomLeft" activeCell="A6" sqref="A6"/>
      <selection pane="bottomRight" activeCell="C24" sqref="C24:N39"/>
    </sheetView>
  </sheetViews>
  <sheetFormatPr defaultColWidth="9.140625" defaultRowHeight="12.75" x14ac:dyDescent="0.2"/>
  <cols>
    <col min="1" max="1" width="8.28515625" style="85" customWidth="1"/>
    <col min="2" max="2" width="77.7109375" style="85" customWidth="1"/>
    <col min="3" max="3" width="27.85546875" style="85" customWidth="1"/>
    <col min="4" max="4" width="15.7109375" style="85" customWidth="1"/>
    <col min="5" max="6" width="14.7109375" style="85" customWidth="1"/>
    <col min="7" max="16384" width="9.140625" style="85"/>
  </cols>
  <sheetData>
    <row r="1" spans="1:8" ht="50.1" customHeight="1" x14ac:dyDescent="0.2">
      <c r="A1" s="1025" t="s">
        <v>1000</v>
      </c>
      <c r="B1" s="1026"/>
      <c r="C1" s="1026"/>
      <c r="D1" s="1026"/>
      <c r="E1" s="1026"/>
      <c r="F1" s="1027"/>
      <c r="H1" s="112"/>
    </row>
    <row r="2" spans="1:8" ht="33" customHeight="1" x14ac:dyDescent="0.2">
      <c r="A2" s="1030" t="s">
        <v>368</v>
      </c>
      <c r="B2" s="1031"/>
      <c r="C2" s="1031"/>
      <c r="D2" s="1031"/>
      <c r="E2" s="1031"/>
      <c r="F2" s="1032"/>
    </row>
    <row r="3" spans="1:8" ht="18.75" customHeight="1" x14ac:dyDescent="0.2">
      <c r="A3" s="1017" t="s">
        <v>180</v>
      </c>
      <c r="B3" s="970" t="s">
        <v>299</v>
      </c>
      <c r="C3" s="966" t="s">
        <v>750</v>
      </c>
      <c r="D3" s="966"/>
      <c r="E3" s="966" t="s">
        <v>321</v>
      </c>
      <c r="F3" s="1029"/>
    </row>
    <row r="4" spans="1:8" ht="18.75" customHeight="1" x14ac:dyDescent="0.2">
      <c r="A4" s="1028"/>
      <c r="B4" s="970"/>
      <c r="C4" s="92">
        <v>2018</v>
      </c>
      <c r="D4" s="92">
        <v>2019</v>
      </c>
      <c r="E4" s="14">
        <v>2018</v>
      </c>
      <c r="F4" s="28">
        <v>2019</v>
      </c>
    </row>
    <row r="5" spans="1:8" ht="15.75" x14ac:dyDescent="0.2">
      <c r="A5" s="29"/>
      <c r="B5" s="82"/>
      <c r="C5" s="24" t="s">
        <v>257</v>
      </c>
      <c r="D5" s="24" t="s">
        <v>258</v>
      </c>
      <c r="E5" s="35" t="s">
        <v>259</v>
      </c>
      <c r="F5" s="84" t="s">
        <v>266</v>
      </c>
    </row>
    <row r="6" spans="1:8" ht="31.5" x14ac:dyDescent="0.2">
      <c r="A6" s="29">
        <v>1</v>
      </c>
      <c r="B6" s="44" t="s">
        <v>679</v>
      </c>
      <c r="C6" s="76" t="s">
        <v>285</v>
      </c>
      <c r="D6" s="76" t="s">
        <v>285</v>
      </c>
      <c r="E6" s="658">
        <v>7802</v>
      </c>
      <c r="F6" s="142">
        <v>7802</v>
      </c>
    </row>
    <row r="7" spans="1:8" ht="37.5" x14ac:dyDescent="0.2">
      <c r="A7" s="29">
        <f>A6+1</f>
        <v>2</v>
      </c>
      <c r="B7" s="59" t="s">
        <v>310</v>
      </c>
      <c r="C7" s="76" t="s">
        <v>285</v>
      </c>
      <c r="D7" s="76" t="s">
        <v>285</v>
      </c>
      <c r="E7" s="658">
        <v>64422</v>
      </c>
      <c r="F7" s="142">
        <v>64682</v>
      </c>
    </row>
    <row r="8" spans="1:8" ht="15.75" x14ac:dyDescent="0.2">
      <c r="A8" s="29">
        <v>3</v>
      </c>
      <c r="B8" s="74" t="s">
        <v>246</v>
      </c>
      <c r="C8" s="76" t="s">
        <v>285</v>
      </c>
      <c r="D8" s="76" t="s">
        <v>285</v>
      </c>
      <c r="E8" s="57">
        <f>E7/12</f>
        <v>5368.5</v>
      </c>
      <c r="F8" s="136">
        <f>F7/12</f>
        <v>5390.166666666667</v>
      </c>
    </row>
    <row r="9" spans="1:8" ht="31.5" x14ac:dyDescent="0.2">
      <c r="A9" s="29">
        <f t="shared" ref="A9:A18" si="0">A8+1</f>
        <v>4</v>
      </c>
      <c r="B9" s="59" t="s">
        <v>324</v>
      </c>
      <c r="C9" s="655">
        <v>3880459.2</v>
      </c>
      <c r="D9" s="78">
        <v>3762111.92</v>
      </c>
      <c r="E9" s="76" t="s">
        <v>285</v>
      </c>
      <c r="F9" s="79" t="s">
        <v>285</v>
      </c>
    </row>
    <row r="10" spans="1:8" ht="31.5" x14ac:dyDescent="0.2">
      <c r="A10" s="29">
        <f t="shared" si="0"/>
        <v>5</v>
      </c>
      <c r="B10" s="59" t="s">
        <v>341</v>
      </c>
      <c r="C10" s="655">
        <v>61301.4</v>
      </c>
      <c r="D10" s="51">
        <v>74903</v>
      </c>
      <c r="E10" s="659">
        <v>381</v>
      </c>
      <c r="F10" s="54">
        <v>674</v>
      </c>
    </row>
    <row r="11" spans="1:8" ht="31.5" x14ac:dyDescent="0.2">
      <c r="A11" s="29">
        <f t="shared" si="0"/>
        <v>6</v>
      </c>
      <c r="B11" s="310" t="s">
        <v>909</v>
      </c>
      <c r="C11" s="655">
        <v>3033578.47</v>
      </c>
      <c r="D11" s="138">
        <v>3143663.98</v>
      </c>
      <c r="E11" s="76" t="s">
        <v>285</v>
      </c>
      <c r="F11" s="79" t="s">
        <v>285</v>
      </c>
    </row>
    <row r="12" spans="1:8" ht="15.75" x14ac:dyDescent="0.2">
      <c r="A12" s="29">
        <f t="shared" si="0"/>
        <v>7</v>
      </c>
      <c r="B12" s="59" t="s">
        <v>322</v>
      </c>
      <c r="C12" s="655">
        <v>1288</v>
      </c>
      <c r="D12" s="51">
        <v>947</v>
      </c>
      <c r="E12" s="76" t="s">
        <v>285</v>
      </c>
      <c r="F12" s="79" t="s">
        <v>285</v>
      </c>
    </row>
    <row r="13" spans="1:8" ht="15.75" x14ac:dyDescent="0.2">
      <c r="A13" s="29">
        <f t="shared" si="0"/>
        <v>8</v>
      </c>
      <c r="B13" s="59" t="s">
        <v>342</v>
      </c>
      <c r="C13" s="57">
        <f>SUM(C9:C12)</f>
        <v>6976627.0700000003</v>
      </c>
      <c r="D13" s="57">
        <f>SUM(D9:D12)</f>
        <v>6981625.9000000004</v>
      </c>
      <c r="E13" s="76" t="s">
        <v>285</v>
      </c>
      <c r="F13" s="79" t="s">
        <v>285</v>
      </c>
    </row>
    <row r="14" spans="1:8" ht="15.75" x14ac:dyDescent="0.2">
      <c r="A14" s="29">
        <f t="shared" si="0"/>
        <v>9</v>
      </c>
      <c r="B14" s="59" t="s">
        <v>343</v>
      </c>
      <c r="C14" s="57">
        <f>C15+C16</f>
        <v>5905487.3499999996</v>
      </c>
      <c r="D14" s="57">
        <f>D15+D16</f>
        <v>6617014.9000000004</v>
      </c>
      <c r="E14" s="76" t="s">
        <v>285</v>
      </c>
      <c r="F14" s="79" t="s">
        <v>285</v>
      </c>
    </row>
    <row r="15" spans="1:8" ht="15.75" x14ac:dyDescent="0.2">
      <c r="A15" s="29">
        <f t="shared" si="0"/>
        <v>10</v>
      </c>
      <c r="B15" s="45" t="s">
        <v>52</v>
      </c>
      <c r="C15" s="656">
        <v>2384660.1100000003</v>
      </c>
      <c r="D15" s="51">
        <v>3014717.35</v>
      </c>
      <c r="E15" s="76" t="s">
        <v>285</v>
      </c>
      <c r="F15" s="79" t="s">
        <v>285</v>
      </c>
    </row>
    <row r="16" spans="1:8" ht="15.75" x14ac:dyDescent="0.2">
      <c r="A16" s="29">
        <f t="shared" si="0"/>
        <v>11</v>
      </c>
      <c r="B16" s="45" t="s">
        <v>53</v>
      </c>
      <c r="C16" s="657">
        <v>3520827.2399999993</v>
      </c>
      <c r="D16" s="51">
        <v>3602297.55</v>
      </c>
      <c r="E16" s="76" t="s">
        <v>285</v>
      </c>
      <c r="F16" s="79" t="s">
        <v>285</v>
      </c>
    </row>
    <row r="17" spans="1:12" ht="31.5" x14ac:dyDescent="0.2">
      <c r="A17" s="29">
        <f t="shared" si="0"/>
        <v>12</v>
      </c>
      <c r="B17" s="59" t="s">
        <v>344</v>
      </c>
      <c r="C17" s="57">
        <f>+C13-C14</f>
        <v>1071139.7200000007</v>
      </c>
      <c r="D17" s="57">
        <f>+D13-D14</f>
        <v>364611</v>
      </c>
      <c r="E17" s="76" t="s">
        <v>285</v>
      </c>
      <c r="F17" s="79" t="s">
        <v>285</v>
      </c>
    </row>
    <row r="18" spans="1:12" ht="16.5" thickBot="1" x14ac:dyDescent="0.25">
      <c r="A18" s="30">
        <f t="shared" si="0"/>
        <v>13</v>
      </c>
      <c r="B18" s="90" t="s">
        <v>345</v>
      </c>
      <c r="C18" s="58">
        <f>IF(E8=0,0,C14/E8)</f>
        <v>1100.0255844276799</v>
      </c>
      <c r="D18" s="58">
        <f>IF(F8=0,0,D14/F8)</f>
        <v>1227.6085897158405</v>
      </c>
      <c r="E18" s="80" t="s">
        <v>285</v>
      </c>
      <c r="F18" s="81" t="s">
        <v>285</v>
      </c>
    </row>
    <row r="20" spans="1:12" ht="15" x14ac:dyDescent="0.2">
      <c r="A20" s="1002" t="s">
        <v>323</v>
      </c>
      <c r="B20" s="1003"/>
      <c r="C20" s="1003"/>
      <c r="D20" s="1003"/>
      <c r="E20" s="1003"/>
      <c r="F20" s="1004"/>
    </row>
    <row r="21" spans="1:12" ht="35.25" customHeight="1" x14ac:dyDescent="0.2">
      <c r="A21" s="1022" t="s">
        <v>78</v>
      </c>
      <c r="B21" s="1023"/>
      <c r="C21" s="1023"/>
      <c r="D21" s="1023"/>
      <c r="E21" s="1023"/>
      <c r="F21" s="1024"/>
    </row>
    <row r="23" spans="1:12" x14ac:dyDescent="0.2">
      <c r="C23"/>
      <c r="D23"/>
      <c r="E23"/>
      <c r="F23"/>
      <c r="G23"/>
      <c r="H23"/>
      <c r="I23"/>
      <c r="J23"/>
      <c r="K23"/>
      <c r="L23"/>
    </row>
    <row r="24" spans="1:12" x14ac:dyDescent="0.2">
      <c r="C24" s="807"/>
      <c r="D24" s="809"/>
      <c r="E24" s="808"/>
      <c r="F24" s="809"/>
      <c r="G24" s="809"/>
      <c r="H24" s="809"/>
      <c r="I24" s="805"/>
      <c r="J24" s="730"/>
      <c r="K24"/>
      <c r="L24"/>
    </row>
    <row r="25" spans="1:12" x14ac:dyDescent="0.2">
      <c r="C25" s="807"/>
      <c r="D25" s="809"/>
      <c r="E25" s="808"/>
      <c r="F25" s="808"/>
      <c r="G25" s="808"/>
      <c r="H25" s="808"/>
      <c r="I25" s="730"/>
      <c r="J25" s="730"/>
      <c r="K25"/>
      <c r="L25"/>
    </row>
    <row r="26" spans="1:12" x14ac:dyDescent="0.2">
      <c r="C26" s="807"/>
      <c r="D26" s="808"/>
      <c r="E26" s="808"/>
      <c r="F26" s="808"/>
      <c r="G26" s="808"/>
      <c r="H26" s="808"/>
      <c r="I26" s="730"/>
      <c r="J26" s="730"/>
      <c r="K26"/>
      <c r="L26"/>
    </row>
    <row r="27" spans="1:12" x14ac:dyDescent="0.2">
      <c r="C27" s="807"/>
      <c r="D27" s="808"/>
      <c r="E27" s="808"/>
      <c r="F27" s="810"/>
      <c r="G27" s="806"/>
      <c r="H27" s="808"/>
      <c r="I27" s="730"/>
      <c r="J27" s="730"/>
      <c r="K27"/>
      <c r="L27"/>
    </row>
    <row r="28" spans="1:12" x14ac:dyDescent="0.2">
      <c r="C28" s="807"/>
      <c r="D28" s="808"/>
      <c r="E28" s="808"/>
      <c r="F28" s="808"/>
      <c r="G28" s="808"/>
      <c r="H28" s="808"/>
      <c r="I28" s="730"/>
      <c r="J28" s="730"/>
      <c r="K28"/>
      <c r="L28"/>
    </row>
    <row r="29" spans="1:12" x14ac:dyDescent="0.2">
      <c r="C29" s="807"/>
      <c r="D29" s="808"/>
      <c r="E29" s="808"/>
      <c r="F29" s="808"/>
      <c r="G29" s="808"/>
      <c r="H29" s="808"/>
      <c r="I29" s="730"/>
      <c r="J29" s="730"/>
      <c r="K29"/>
      <c r="L29"/>
    </row>
    <row r="30" spans="1:12" x14ac:dyDescent="0.2">
      <c r="C30" s="807"/>
      <c r="D30" s="808"/>
      <c r="E30" s="808"/>
      <c r="F30" s="808"/>
      <c r="G30" s="808"/>
      <c r="H30" s="808"/>
      <c r="I30" s="730"/>
      <c r="J30" s="730"/>
      <c r="K30"/>
      <c r="L30"/>
    </row>
    <row r="31" spans="1:12" x14ac:dyDescent="0.2">
      <c r="C31" s="807"/>
      <c r="D31" s="808"/>
      <c r="E31" s="808"/>
      <c r="F31" s="808"/>
      <c r="G31" s="808"/>
      <c r="H31" s="808"/>
      <c r="I31" s="730"/>
      <c r="J31" s="730"/>
      <c r="K31"/>
      <c r="L31"/>
    </row>
    <row r="32" spans="1:12" x14ac:dyDescent="0.2">
      <c r="C32" s="807"/>
      <c r="D32" s="808"/>
      <c r="E32" s="808"/>
      <c r="F32" s="808"/>
      <c r="G32" s="808"/>
      <c r="H32" s="808"/>
      <c r="I32" s="730"/>
      <c r="J32" s="730"/>
      <c r="K32"/>
      <c r="L32"/>
    </row>
    <row r="33" spans="3:12" x14ac:dyDescent="0.2">
      <c r="C33"/>
      <c r="D33" s="730"/>
      <c r="E33" s="730"/>
      <c r="F33" s="730"/>
      <c r="G33" s="730"/>
      <c r="H33" s="730"/>
      <c r="I33" s="730"/>
      <c r="J33" s="730"/>
      <c r="K33"/>
      <c r="L33"/>
    </row>
    <row r="34" spans="3:12" x14ac:dyDescent="0.2">
      <c r="C34"/>
      <c r="D34" s="730"/>
      <c r="E34" s="730"/>
      <c r="F34" s="730"/>
      <c r="G34" s="730"/>
      <c r="H34" s="730"/>
      <c r="I34" s="730"/>
      <c r="J34" s="730"/>
      <c r="K34"/>
      <c r="L34"/>
    </row>
    <row r="35" spans="3:12" x14ac:dyDescent="0.2">
      <c r="C35"/>
      <c r="D35" s="730"/>
      <c r="E35" s="730"/>
      <c r="F35" s="730"/>
      <c r="G35" s="730"/>
      <c r="H35" s="730"/>
      <c r="I35" s="730"/>
      <c r="J35" s="730"/>
      <c r="K35"/>
      <c r="L35"/>
    </row>
    <row r="36" spans="3:12" x14ac:dyDescent="0.2">
      <c r="C36"/>
      <c r="D36" s="730"/>
      <c r="E36" s="730"/>
      <c r="F36" s="730"/>
      <c r="G36" s="730"/>
      <c r="H36" s="730"/>
      <c r="I36" s="730"/>
      <c r="J36" s="730"/>
      <c r="K36"/>
      <c r="L36"/>
    </row>
    <row r="37" spans="3:12" x14ac:dyDescent="0.2">
      <c r="C37"/>
      <c r="D37" s="730"/>
      <c r="E37" s="730"/>
      <c r="F37" s="730"/>
      <c r="G37" s="730"/>
      <c r="H37" s="730"/>
      <c r="I37" s="730"/>
      <c r="J37" s="730"/>
      <c r="K37"/>
      <c r="L37"/>
    </row>
    <row r="38" spans="3:12" x14ac:dyDescent="0.2">
      <c r="C38"/>
      <c r="D38" s="730"/>
      <c r="E38" s="730"/>
      <c r="F38" s="730"/>
      <c r="G38" s="730"/>
      <c r="H38" s="730"/>
      <c r="I38" s="730"/>
      <c r="J38" s="730"/>
      <c r="K38"/>
      <c r="L38"/>
    </row>
    <row r="39" spans="3:12" x14ac:dyDescent="0.2">
      <c r="C39"/>
      <c r="D39"/>
      <c r="E39"/>
      <c r="F39"/>
      <c r="G39"/>
      <c r="H39"/>
      <c r="I39"/>
      <c r="J39"/>
      <c r="K39"/>
      <c r="L39"/>
    </row>
  </sheetData>
  <mergeCells count="8">
    <mergeCell ref="A21:F21"/>
    <mergeCell ref="A1:F1"/>
    <mergeCell ref="A3:A4"/>
    <mergeCell ref="B3:B4"/>
    <mergeCell ref="C3:D3"/>
    <mergeCell ref="E3:F3"/>
    <mergeCell ref="A2:F2"/>
    <mergeCell ref="A20:F20"/>
  </mergeCells>
  <phoneticPr fontId="8" type="noConversion"/>
  <pageMargins left="0.66" right="0.45" top="0.98425196850393704" bottom="0.77" header="0.51181102362204722" footer="0.51181102362204722"/>
  <pageSetup paperSize="9" scale="8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K35"/>
  <sheetViews>
    <sheetView zoomScale="85" zoomScaleNormal="85" workbookViewId="0">
      <pane xSplit="2" ySplit="4" topLeftCell="C18" activePane="bottomRight" state="frozen"/>
      <selection pane="topRight" activeCell="C1" sqref="C1"/>
      <selection pane="bottomLeft" activeCell="A5" sqref="A5"/>
      <selection pane="bottomRight" activeCell="B13" sqref="B13"/>
    </sheetView>
  </sheetViews>
  <sheetFormatPr defaultColWidth="9.140625" defaultRowHeight="15.75" x14ac:dyDescent="0.25"/>
  <cols>
    <col min="1" max="1" width="8.140625" style="226" customWidth="1"/>
    <col min="2" max="2" width="94" style="250" customWidth="1"/>
    <col min="3" max="3" width="18.7109375" style="226" customWidth="1"/>
    <col min="4" max="4" width="18.5703125" style="226" customWidth="1"/>
    <col min="5" max="5" width="11.42578125" style="227" customWidth="1"/>
    <col min="6" max="16384" width="9.140625" style="226"/>
  </cols>
  <sheetData>
    <row r="1" spans="1:11" ht="50.1" customHeight="1" thickBot="1" x14ac:dyDescent="0.3">
      <c r="A1" s="1036" t="s">
        <v>1001</v>
      </c>
      <c r="B1" s="1037"/>
      <c r="C1" s="1037"/>
      <c r="D1" s="1038"/>
      <c r="E1" s="225"/>
    </row>
    <row r="2" spans="1:11" ht="29.25" customHeight="1" x14ac:dyDescent="0.25">
      <c r="A2" s="1039" t="s">
        <v>369</v>
      </c>
      <c r="B2" s="1040"/>
      <c r="C2" s="1040"/>
      <c r="D2" s="1041"/>
    </row>
    <row r="3" spans="1:11" ht="33" customHeight="1" x14ac:dyDescent="0.25">
      <c r="A3" s="228" t="s">
        <v>180</v>
      </c>
      <c r="B3" s="229" t="s">
        <v>299</v>
      </c>
      <c r="C3" s="230">
        <v>2018</v>
      </c>
      <c r="D3" s="231">
        <v>2019</v>
      </c>
    </row>
    <row r="4" spans="1:11" x14ac:dyDescent="0.25">
      <c r="A4" s="232"/>
      <c r="B4" s="233"/>
      <c r="C4" s="234" t="s">
        <v>257</v>
      </c>
      <c r="D4" s="261" t="s">
        <v>258</v>
      </c>
    </row>
    <row r="5" spans="1:11" ht="18.75" x14ac:dyDescent="0.25">
      <c r="A5" s="235">
        <v>1</v>
      </c>
      <c r="B5" s="236" t="s">
        <v>250</v>
      </c>
      <c r="C5" s="750">
        <f>+C6+C9</f>
        <v>758007</v>
      </c>
      <c r="D5" s="721">
        <f>D6+D9</f>
        <v>822566.08</v>
      </c>
    </row>
    <row r="6" spans="1:11" ht="18.75" customHeight="1" x14ac:dyDescent="0.25">
      <c r="A6" s="235">
        <f t="shared" ref="A6:A13" si="0">A5+1</f>
        <v>2</v>
      </c>
      <c r="B6" s="236" t="s">
        <v>328</v>
      </c>
      <c r="C6" s="750">
        <f>+C7+C8</f>
        <v>458395</v>
      </c>
      <c r="D6" s="721">
        <f>+D7+D8</f>
        <v>433817.98</v>
      </c>
    </row>
    <row r="7" spans="1:11" x14ac:dyDescent="0.25">
      <c r="A7" s="235">
        <f t="shared" si="0"/>
        <v>3</v>
      </c>
      <c r="B7" s="239" t="s">
        <v>326</v>
      </c>
      <c r="C7" s="665">
        <v>457882</v>
      </c>
      <c r="D7" s="722">
        <v>433289.98</v>
      </c>
    </row>
    <row r="8" spans="1:11" x14ac:dyDescent="0.25">
      <c r="A8" s="235">
        <f t="shared" si="0"/>
        <v>4</v>
      </c>
      <c r="B8" s="239" t="s">
        <v>327</v>
      </c>
      <c r="C8" s="665">
        <v>513</v>
      </c>
      <c r="D8" s="722">
        <v>528</v>
      </c>
    </row>
    <row r="9" spans="1:11" ht="26.25" customHeight="1" x14ac:dyDescent="0.25">
      <c r="A9" s="235">
        <f t="shared" si="0"/>
        <v>5</v>
      </c>
      <c r="B9" s="236" t="s">
        <v>224</v>
      </c>
      <c r="C9" s="751">
        <f>+C10+C11-C12</f>
        <v>299612</v>
      </c>
      <c r="D9" s="723">
        <f>D10+D11-D12</f>
        <v>388748.1</v>
      </c>
    </row>
    <row r="10" spans="1:11" ht="33" customHeight="1" x14ac:dyDescent="0.25">
      <c r="A10" s="235">
        <f t="shared" si="0"/>
        <v>6</v>
      </c>
      <c r="B10" s="239" t="s">
        <v>169</v>
      </c>
      <c r="C10" s="752">
        <v>85174.52</v>
      </c>
      <c r="D10" s="723">
        <f>+C12</f>
        <v>128857.52000000002</v>
      </c>
    </row>
    <row r="11" spans="1:11" ht="22.5" customHeight="1" x14ac:dyDescent="0.25">
      <c r="A11" s="235">
        <f t="shared" si="0"/>
        <v>7</v>
      </c>
      <c r="B11" s="239" t="s">
        <v>197</v>
      </c>
      <c r="C11" s="660">
        <v>343295</v>
      </c>
      <c r="D11" s="722">
        <v>399871</v>
      </c>
      <c r="E11" s="227" t="s">
        <v>1296</v>
      </c>
    </row>
    <row r="12" spans="1:11" ht="26.25" customHeight="1" x14ac:dyDescent="0.25">
      <c r="A12" s="235">
        <f t="shared" si="0"/>
        <v>8</v>
      </c>
      <c r="B12" s="239" t="s">
        <v>723</v>
      </c>
      <c r="C12" s="751">
        <f>C10+C11-C20</f>
        <v>128857.52000000002</v>
      </c>
      <c r="D12" s="723">
        <f>D10+D11-D20</f>
        <v>139980.42000000004</v>
      </c>
    </row>
    <row r="13" spans="1:11" ht="30" customHeight="1" x14ac:dyDescent="0.25">
      <c r="A13" s="235">
        <f t="shared" si="0"/>
        <v>9</v>
      </c>
      <c r="B13" s="236" t="s">
        <v>724</v>
      </c>
      <c r="C13" s="661">
        <v>771289.34000000008</v>
      </c>
      <c r="D13" s="724">
        <v>775074.58</v>
      </c>
    </row>
    <row r="14" spans="1:11" x14ac:dyDescent="0.25">
      <c r="A14" s="235"/>
      <c r="B14" s="262" t="s">
        <v>274</v>
      </c>
      <c r="C14" s="662"/>
      <c r="D14" s="725"/>
      <c r="E14" s="240"/>
      <c r="F14" s="241"/>
      <c r="G14" s="241"/>
      <c r="H14" s="241"/>
      <c r="I14" s="241"/>
      <c r="J14" s="241"/>
      <c r="K14" s="241"/>
    </row>
    <row r="15" spans="1:11" ht="18.75" x14ac:dyDescent="0.25">
      <c r="A15" s="235">
        <f>A13+1</f>
        <v>10</v>
      </c>
      <c r="B15" s="263" t="s">
        <v>329</v>
      </c>
      <c r="C15" s="660">
        <v>729093.34000000008</v>
      </c>
      <c r="D15" s="722">
        <v>707660.48</v>
      </c>
    </row>
    <row r="16" spans="1:11" ht="30.75" customHeight="1" x14ac:dyDescent="0.25">
      <c r="A16" s="235">
        <f t="shared" ref="A16:A21" si="1">+A15+1</f>
        <v>11</v>
      </c>
      <c r="B16" s="236" t="s">
        <v>725</v>
      </c>
      <c r="C16" s="750">
        <f>C5-C13</f>
        <v>-13282.340000000084</v>
      </c>
      <c r="D16" s="721">
        <v>47491.5</v>
      </c>
    </row>
    <row r="17" spans="1:6" ht="18.75" x14ac:dyDescent="0.25">
      <c r="A17" s="235">
        <f t="shared" si="1"/>
        <v>12</v>
      </c>
      <c r="B17" s="236" t="s">
        <v>726</v>
      </c>
      <c r="C17" s="750">
        <f>C18+C19</f>
        <v>299612</v>
      </c>
      <c r="D17" s="721">
        <f>D18+D19</f>
        <v>299037</v>
      </c>
    </row>
    <row r="18" spans="1:6" x14ac:dyDescent="0.25">
      <c r="A18" s="275">
        <f t="shared" si="1"/>
        <v>13</v>
      </c>
      <c r="B18" s="242" t="s">
        <v>831</v>
      </c>
      <c r="C18" s="663">
        <v>257416</v>
      </c>
      <c r="D18" s="726">
        <v>247180</v>
      </c>
    </row>
    <row r="19" spans="1:6" ht="18.75" x14ac:dyDescent="0.25">
      <c r="A19" s="275">
        <f>+A18+1</f>
        <v>14</v>
      </c>
      <c r="B19" s="242" t="s">
        <v>727</v>
      </c>
      <c r="C19" s="663">
        <v>42196</v>
      </c>
      <c r="D19" s="726">
        <v>51857</v>
      </c>
    </row>
    <row r="20" spans="1:6" x14ac:dyDescent="0.25">
      <c r="A20" s="275">
        <f>+A19+1</f>
        <v>15</v>
      </c>
      <c r="B20" s="236" t="s">
        <v>739</v>
      </c>
      <c r="C20" s="750">
        <f>(C18*1 +C19*1)</f>
        <v>299612</v>
      </c>
      <c r="D20" s="721">
        <f>(D18*1.3+D19*1.3)</f>
        <v>388748.1</v>
      </c>
    </row>
    <row r="21" spans="1:6" ht="16.5" thickBot="1" x14ac:dyDescent="0.3">
      <c r="A21" s="276">
        <f t="shared" si="1"/>
        <v>16</v>
      </c>
      <c r="B21" s="243" t="s">
        <v>749</v>
      </c>
      <c r="C21" s="753">
        <f>IF(C18=0,0,C15/C18)</f>
        <v>2.8323543991049509</v>
      </c>
      <c r="D21" s="727">
        <f>IF(D18=0,0,D15/D18)</f>
        <v>2.8629358362327046</v>
      </c>
    </row>
    <row r="22" spans="1:6" s="241" customFormat="1" x14ac:dyDescent="0.25">
      <c r="A22" s="244"/>
      <c r="B22" s="245"/>
      <c r="C22" s="246"/>
      <c r="D22" s="246"/>
      <c r="E22" s="227"/>
      <c r="F22" s="226"/>
    </row>
    <row r="23" spans="1:6" s="248" customFormat="1" x14ac:dyDescent="0.25">
      <c r="A23" s="1042" t="s">
        <v>325</v>
      </c>
      <c r="B23" s="1043"/>
      <c r="C23" s="1043"/>
      <c r="D23" s="1044"/>
      <c r="E23" s="247"/>
    </row>
    <row r="24" spans="1:6" s="248" customFormat="1" x14ac:dyDescent="0.25">
      <c r="A24" s="1045" t="s">
        <v>666</v>
      </c>
      <c r="B24" s="1046"/>
      <c r="C24" s="1046"/>
      <c r="D24" s="1047"/>
      <c r="E24" s="247"/>
    </row>
    <row r="25" spans="1:6" s="248" customFormat="1" x14ac:dyDescent="0.25">
      <c r="A25" s="1048" t="s">
        <v>830</v>
      </c>
      <c r="B25" s="1049"/>
      <c r="C25" s="1049"/>
      <c r="D25" s="1050"/>
      <c r="E25" s="247"/>
    </row>
    <row r="26" spans="1:6" s="248" customFormat="1" x14ac:dyDescent="0.25">
      <c r="A26" s="1033" t="s">
        <v>671</v>
      </c>
      <c r="B26" s="1034"/>
      <c r="C26" s="1034"/>
      <c r="D26" s="1035"/>
      <c r="E26" s="247"/>
    </row>
    <row r="27" spans="1:6" s="248" customFormat="1" x14ac:dyDescent="0.25">
      <c r="B27" s="249"/>
      <c r="E27" s="247"/>
    </row>
    <row r="28" spans="1:6" customFormat="1" ht="12.75" x14ac:dyDescent="0.2">
      <c r="A28" s="731" t="s">
        <v>1275</v>
      </c>
      <c r="B28" s="731"/>
      <c r="C28" s="731" t="s">
        <v>1276</v>
      </c>
      <c r="D28" s="746" t="s">
        <v>1277</v>
      </c>
      <c r="E28" s="731" t="s">
        <v>178</v>
      </c>
    </row>
    <row r="29" spans="1:6" customFormat="1" x14ac:dyDescent="0.25">
      <c r="A29" s="731" t="s">
        <v>1278</v>
      </c>
      <c r="B29" s="731"/>
      <c r="C29" s="732">
        <v>222497</v>
      </c>
      <c r="D29" s="747">
        <v>24683</v>
      </c>
      <c r="E29" s="732">
        <f>C29+D29</f>
        <v>247180</v>
      </c>
    </row>
    <row r="30" spans="1:6" customFormat="1" x14ac:dyDescent="0.25">
      <c r="A30" s="731" t="s">
        <v>1279</v>
      </c>
      <c r="B30" s="731"/>
      <c r="C30" s="732">
        <v>51857</v>
      </c>
      <c r="D30" s="747">
        <v>0</v>
      </c>
      <c r="E30" s="732">
        <f t="shared" ref="E30:E33" si="2">C30+D30</f>
        <v>51857</v>
      </c>
    </row>
    <row r="31" spans="1:6" customFormat="1" ht="12.75" x14ac:dyDescent="0.2">
      <c r="A31" s="731" t="s">
        <v>1280</v>
      </c>
      <c r="B31" s="731"/>
      <c r="C31" s="748">
        <f>C29+C30</f>
        <v>274354</v>
      </c>
      <c r="D31" s="749">
        <v>24683</v>
      </c>
      <c r="E31" s="748">
        <f t="shared" si="2"/>
        <v>299037</v>
      </c>
    </row>
    <row r="32" spans="1:6" customFormat="1" x14ac:dyDescent="0.25">
      <c r="A32" s="731" t="s">
        <v>1281</v>
      </c>
      <c r="B32" s="731"/>
      <c r="C32" s="732">
        <v>7744</v>
      </c>
      <c r="D32" s="747">
        <v>238</v>
      </c>
      <c r="E32" s="732">
        <f t="shared" si="2"/>
        <v>7982</v>
      </c>
    </row>
    <row r="33" spans="1:5" customFormat="1" x14ac:dyDescent="0.25">
      <c r="A33" s="731" t="s">
        <v>1282</v>
      </c>
      <c r="B33" s="731"/>
      <c r="C33" s="748">
        <f>C31+C32</f>
        <v>282098</v>
      </c>
      <c r="D33" s="749">
        <v>24921</v>
      </c>
      <c r="E33" s="748">
        <f t="shared" si="2"/>
        <v>307019</v>
      </c>
    </row>
    <row r="34" spans="1:5" customFormat="1" ht="12.75" x14ac:dyDescent="0.2"/>
    <row r="35" spans="1:5" customFormat="1" ht="12.75" x14ac:dyDescent="0.2"/>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3" fitToWidth="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9"/>
  <sheetViews>
    <sheetView zoomScaleNormal="100" workbookViewId="0">
      <pane xSplit="2" ySplit="5" topLeftCell="C6" activePane="bottomRight" state="frozen"/>
      <selection pane="topRight" activeCell="C1" sqref="C1"/>
      <selection pane="bottomLeft" activeCell="A6" sqref="A6"/>
      <selection pane="bottomRight" activeCell="C26" sqref="C26:O39"/>
    </sheetView>
  </sheetViews>
  <sheetFormatPr defaultColWidth="9.140625" defaultRowHeight="15.75" x14ac:dyDescent="0.25"/>
  <cols>
    <col min="1" max="1" width="9.140625" style="2"/>
    <col min="2" max="2" width="88.7109375" style="8" customWidth="1"/>
    <col min="3" max="3" width="23.42578125" style="2" customWidth="1"/>
    <col min="4" max="4" width="24.42578125" style="2" customWidth="1"/>
    <col min="5" max="5" width="15.28515625" style="194" bestFit="1" customWidth="1"/>
    <col min="6" max="6" width="9.140625" style="194"/>
    <col min="7" max="16384" width="9.140625" style="2"/>
  </cols>
  <sheetData>
    <row r="1" spans="1:6" ht="50.1" customHeight="1" thickBot="1" x14ac:dyDescent="0.3">
      <c r="A1" s="1051" t="s">
        <v>1002</v>
      </c>
      <c r="B1" s="1052"/>
      <c r="C1" s="1052"/>
      <c r="D1" s="1053"/>
    </row>
    <row r="2" spans="1:6" ht="27.75" customHeight="1" x14ac:dyDescent="0.25">
      <c r="A2" s="916" t="s">
        <v>369</v>
      </c>
      <c r="B2" s="917"/>
      <c r="C2" s="917"/>
      <c r="D2" s="918"/>
    </row>
    <row r="3" spans="1:6" ht="18.75" customHeight="1" x14ac:dyDescent="0.25">
      <c r="A3" s="941" t="s">
        <v>180</v>
      </c>
      <c r="B3" s="1054" t="s">
        <v>299</v>
      </c>
      <c r="C3" s="1055" t="s">
        <v>278</v>
      </c>
      <c r="D3" s="1056"/>
    </row>
    <row r="4" spans="1:6" s="5" customFormat="1" ht="19.5" customHeight="1" x14ac:dyDescent="0.2">
      <c r="A4" s="941"/>
      <c r="B4" s="1054"/>
      <c r="C4" s="16">
        <v>2018</v>
      </c>
      <c r="D4" s="15">
        <v>2019</v>
      </c>
      <c r="E4" s="195"/>
      <c r="F4" s="195"/>
    </row>
    <row r="5" spans="1:6" s="5" customFormat="1" x14ac:dyDescent="0.2">
      <c r="A5" s="29"/>
      <c r="B5" s="27"/>
      <c r="C5" s="16" t="s">
        <v>257</v>
      </c>
      <c r="D5" s="15" t="s">
        <v>258</v>
      </c>
      <c r="E5" s="195"/>
      <c r="F5" s="195"/>
    </row>
    <row r="6" spans="1:6" s="5" customFormat="1" x14ac:dyDescent="0.2">
      <c r="A6" s="100">
        <v>1</v>
      </c>
      <c r="B6" s="55" t="s">
        <v>189</v>
      </c>
      <c r="C6" s="591">
        <v>19101855.609999999</v>
      </c>
      <c r="D6" s="741">
        <v>21017644.649999999</v>
      </c>
      <c r="E6" s="195"/>
      <c r="F6" s="195"/>
    </row>
    <row r="7" spans="1:6" s="5" customFormat="1" x14ac:dyDescent="0.2">
      <c r="A7" s="100">
        <f t="shared" ref="A7:A20" si="0">A6+1</f>
        <v>2</v>
      </c>
      <c r="B7" s="44" t="s">
        <v>152</v>
      </c>
      <c r="C7" s="592">
        <f>SUM(C8:C13)</f>
        <v>2473105.63</v>
      </c>
      <c r="D7" s="742">
        <f>SUM(D8:D13)</f>
        <v>2306282.33</v>
      </c>
      <c r="E7" s="195"/>
      <c r="F7" s="195"/>
    </row>
    <row r="8" spans="1:6" s="5" customFormat="1" ht="18.75" x14ac:dyDescent="0.2">
      <c r="A8" s="100">
        <f t="shared" si="0"/>
        <v>3</v>
      </c>
      <c r="B8" s="56" t="s">
        <v>351</v>
      </c>
      <c r="C8" s="593">
        <v>0</v>
      </c>
      <c r="D8" s="743">
        <v>0</v>
      </c>
      <c r="E8" s="195"/>
      <c r="F8" s="195"/>
    </row>
    <row r="9" spans="1:6" s="5" customFormat="1" x14ac:dyDescent="0.2">
      <c r="A9" s="100">
        <f t="shared" si="0"/>
        <v>4</v>
      </c>
      <c r="B9" s="56" t="s">
        <v>354</v>
      </c>
      <c r="C9" s="593">
        <v>2421446.7799999998</v>
      </c>
      <c r="D9" s="743">
        <v>2250593.63</v>
      </c>
      <c r="E9" s="195"/>
      <c r="F9" s="195"/>
    </row>
    <row r="10" spans="1:6" s="5" customFormat="1" x14ac:dyDescent="0.2">
      <c r="A10" s="100">
        <f t="shared" si="0"/>
        <v>5</v>
      </c>
      <c r="B10" s="56" t="s">
        <v>867</v>
      </c>
      <c r="C10" s="593">
        <v>46891.79</v>
      </c>
      <c r="D10" s="743">
        <v>55688.7</v>
      </c>
      <c r="E10" s="195"/>
      <c r="F10" s="195"/>
    </row>
    <row r="11" spans="1:6" s="5" customFormat="1" x14ac:dyDescent="0.2">
      <c r="A11" s="100">
        <f t="shared" si="0"/>
        <v>6</v>
      </c>
      <c r="B11" s="56" t="s">
        <v>352</v>
      </c>
      <c r="C11" s="593">
        <v>0</v>
      </c>
      <c r="D11" s="743">
        <v>0</v>
      </c>
      <c r="E11" s="195"/>
      <c r="F11" s="195"/>
    </row>
    <row r="12" spans="1:6" s="5" customFormat="1" x14ac:dyDescent="0.2">
      <c r="A12" s="100">
        <f t="shared" si="0"/>
        <v>7</v>
      </c>
      <c r="B12" s="56" t="s">
        <v>353</v>
      </c>
      <c r="C12" s="593">
        <v>4767.0600000000004</v>
      </c>
      <c r="D12" s="743">
        <v>0</v>
      </c>
      <c r="E12" s="195"/>
      <c r="F12" s="195"/>
    </row>
    <row r="13" spans="1:6" s="5" customFormat="1" ht="19.5" customHeight="1" x14ac:dyDescent="0.2">
      <c r="A13" s="100">
        <f t="shared" si="0"/>
        <v>8</v>
      </c>
      <c r="B13" s="56" t="s">
        <v>355</v>
      </c>
      <c r="C13" s="593">
        <v>0</v>
      </c>
      <c r="D13" s="743">
        <v>0</v>
      </c>
      <c r="E13" s="195"/>
      <c r="F13" s="195"/>
    </row>
    <row r="14" spans="1:6" s="5" customFormat="1" ht="21.75" customHeight="1" x14ac:dyDescent="0.2">
      <c r="A14" s="100">
        <f t="shared" si="0"/>
        <v>9</v>
      </c>
      <c r="B14" s="44" t="s">
        <v>50</v>
      </c>
      <c r="C14" s="592">
        <f>C6+C7</f>
        <v>21574961.239999998</v>
      </c>
      <c r="D14" s="742">
        <f>D6+D7</f>
        <v>23323926.979999997</v>
      </c>
      <c r="E14" s="595"/>
      <c r="F14" s="195"/>
    </row>
    <row r="15" spans="1:6" s="5" customFormat="1" ht="27" customHeight="1" x14ac:dyDescent="0.2">
      <c r="A15" s="100">
        <f t="shared" si="0"/>
        <v>10</v>
      </c>
      <c r="B15" s="44" t="s">
        <v>1116</v>
      </c>
      <c r="C15" s="591"/>
      <c r="D15" s="744">
        <v>5170207</v>
      </c>
      <c r="E15" s="491"/>
      <c r="F15" s="493"/>
    </row>
    <row r="16" spans="1:6" s="5" customFormat="1" ht="31.5" x14ac:dyDescent="0.2">
      <c r="A16" s="124" t="s">
        <v>686</v>
      </c>
      <c r="B16" s="59" t="s">
        <v>987</v>
      </c>
      <c r="C16" s="591">
        <v>82215.45</v>
      </c>
      <c r="D16" s="741">
        <v>0</v>
      </c>
      <c r="E16"/>
      <c r="F16" s="195"/>
    </row>
    <row r="17" spans="1:9" s="5" customFormat="1" ht="28.5" customHeight="1" x14ac:dyDescent="0.2">
      <c r="A17" s="100">
        <f>A15+1</f>
        <v>11</v>
      </c>
      <c r="B17" s="44" t="s">
        <v>756</v>
      </c>
      <c r="C17" s="591">
        <v>2008148.7</v>
      </c>
      <c r="D17" s="741">
        <v>2371778.67</v>
      </c>
      <c r="E17" s="195"/>
      <c r="F17" s="195"/>
    </row>
    <row r="18" spans="1:9" s="5" customFormat="1" ht="23.25" customHeight="1" x14ac:dyDescent="0.2">
      <c r="A18" s="100">
        <f t="shared" si="0"/>
        <v>12</v>
      </c>
      <c r="B18" s="44" t="s">
        <v>236</v>
      </c>
      <c r="C18" s="591">
        <v>0</v>
      </c>
      <c r="D18" s="741">
        <v>0</v>
      </c>
      <c r="E18" s="195"/>
      <c r="F18" s="195"/>
    </row>
    <row r="19" spans="1:9" s="5" customFormat="1" ht="33" customHeight="1" x14ac:dyDescent="0.2">
      <c r="A19" s="100">
        <f t="shared" si="0"/>
        <v>13</v>
      </c>
      <c r="B19" s="44" t="s">
        <v>757</v>
      </c>
      <c r="C19" s="591">
        <v>16780</v>
      </c>
      <c r="D19" s="741">
        <v>68760</v>
      </c>
      <c r="E19" s="740"/>
      <c r="F19" s="811"/>
    </row>
    <row r="20" spans="1:9" s="5" customFormat="1" ht="21" customHeight="1" thickBot="1" x14ac:dyDescent="0.25">
      <c r="A20" s="101">
        <f t="shared" si="0"/>
        <v>14</v>
      </c>
      <c r="B20" s="46" t="s">
        <v>80</v>
      </c>
      <c r="C20" s="594">
        <f>SUM(C14:C19)</f>
        <v>23682105.389999997</v>
      </c>
      <c r="D20" s="745">
        <f>SUM(D14:D19)</f>
        <v>30934672.649999999</v>
      </c>
      <c r="E20" s="195"/>
      <c r="F20" s="195"/>
    </row>
    <row r="21" spans="1:9" ht="9" customHeight="1" x14ac:dyDescent="0.25"/>
    <row r="22" spans="1:9" ht="18" customHeight="1" x14ac:dyDescent="0.25">
      <c r="A22" s="1002" t="s">
        <v>84</v>
      </c>
      <c r="B22" s="1003"/>
      <c r="C22" s="1003"/>
      <c r="D22" s="1004"/>
    </row>
    <row r="23" spans="1:9" x14ac:dyDescent="0.25">
      <c r="A23" s="1022" t="s">
        <v>18</v>
      </c>
      <c r="B23" s="1023"/>
      <c r="C23" s="1023"/>
      <c r="D23" s="1024"/>
      <c r="E23" s="195"/>
      <c r="F23" s="195"/>
      <c r="G23" s="133"/>
      <c r="H23" s="133"/>
      <c r="I23" s="133"/>
    </row>
    <row r="24" spans="1:9" x14ac:dyDescent="0.25">
      <c r="A24" s="501" t="s">
        <v>988</v>
      </c>
      <c r="B24" s="502" t="s">
        <v>1117</v>
      </c>
    </row>
    <row r="26" spans="1:9" x14ac:dyDescent="0.25">
      <c r="B26" s="8" t="s">
        <v>832</v>
      </c>
      <c r="C26" s="794"/>
      <c r="D26" s="794"/>
      <c r="E26" s="795"/>
    </row>
    <row r="27" spans="1:9" x14ac:dyDescent="0.25">
      <c r="B27" s="8" t="s">
        <v>879</v>
      </c>
      <c r="C27" s="794"/>
      <c r="D27" s="794"/>
      <c r="E27" s="795"/>
    </row>
    <row r="28" spans="1:9" x14ac:dyDescent="0.25">
      <c r="B28" s="8" t="s">
        <v>1284</v>
      </c>
      <c r="C28" s="794"/>
      <c r="D28" s="794"/>
      <c r="E28" s="832"/>
      <c r="F28" s="833"/>
      <c r="G28" s="472"/>
      <c r="H28" s="472"/>
    </row>
    <row r="29" spans="1:9" x14ac:dyDescent="0.25">
      <c r="F29" s="875"/>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115" zoomScaleNormal="115" workbookViewId="0">
      <pane xSplit="2" ySplit="5" topLeftCell="E6" activePane="bottomRight" state="frozen"/>
      <selection pane="topRight" activeCell="C1" sqref="C1"/>
      <selection pane="bottomLeft" activeCell="A6" sqref="A6"/>
      <selection pane="bottomRight" activeCell="H25" sqref="H25:I25"/>
    </sheetView>
  </sheetViews>
  <sheetFormatPr defaultColWidth="9.140625" defaultRowHeight="15.75" x14ac:dyDescent="0.25"/>
  <cols>
    <col min="1" max="1" width="7.42578125" style="2" customWidth="1"/>
    <col min="2" max="2" width="51.5703125" style="8" customWidth="1"/>
    <col min="3" max="3" width="22.28515625" style="8"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1059" t="s">
        <v>1003</v>
      </c>
      <c r="B1" s="1060"/>
      <c r="C1" s="1060"/>
      <c r="D1" s="1060"/>
      <c r="E1" s="1060"/>
      <c r="F1" s="1060"/>
      <c r="G1" s="1060"/>
      <c r="H1" s="1060"/>
      <c r="I1" s="1061"/>
    </row>
    <row r="2" spans="1:10" ht="35.1" customHeight="1" x14ac:dyDescent="0.25">
      <c r="A2" s="954" t="s">
        <v>369</v>
      </c>
      <c r="B2" s="955"/>
      <c r="C2" s="955"/>
      <c r="D2" s="955"/>
      <c r="E2" s="955"/>
      <c r="F2" s="955"/>
      <c r="G2" s="955"/>
      <c r="H2" s="955"/>
      <c r="I2" s="956"/>
    </row>
    <row r="3" spans="1:10" s="5" customFormat="1" ht="35.25" customHeight="1" x14ac:dyDescent="0.2">
      <c r="A3" s="1018" t="s">
        <v>180</v>
      </c>
      <c r="B3" s="943" t="s">
        <v>299</v>
      </c>
      <c r="C3" s="1064" t="s">
        <v>1217</v>
      </c>
      <c r="D3" s="991" t="s">
        <v>1008</v>
      </c>
      <c r="E3" s="991" t="s">
        <v>1004</v>
      </c>
      <c r="F3" s="991" t="s">
        <v>1123</v>
      </c>
      <c r="G3" s="1062" t="s">
        <v>204</v>
      </c>
      <c r="H3" s="1062" t="s">
        <v>1009</v>
      </c>
      <c r="I3" s="1057" t="s">
        <v>205</v>
      </c>
    </row>
    <row r="4" spans="1:10" s="5" customFormat="1" ht="72" customHeight="1" x14ac:dyDescent="0.2">
      <c r="A4" s="941"/>
      <c r="B4" s="970"/>
      <c r="C4" s="1065"/>
      <c r="D4" s="992"/>
      <c r="E4" s="992"/>
      <c r="F4" s="992"/>
      <c r="G4" s="1063"/>
      <c r="H4" s="1063"/>
      <c r="I4" s="1058"/>
    </row>
    <row r="5" spans="1:10" s="5" customFormat="1" x14ac:dyDescent="0.2">
      <c r="A5" s="29"/>
      <c r="B5" s="86"/>
      <c r="C5" s="89" t="s">
        <v>257</v>
      </c>
      <c r="D5" s="89" t="s">
        <v>258</v>
      </c>
      <c r="E5" s="35" t="s">
        <v>259</v>
      </c>
      <c r="F5" s="35" t="s">
        <v>266</v>
      </c>
      <c r="G5" s="35" t="s">
        <v>260</v>
      </c>
      <c r="H5" s="35" t="s">
        <v>261</v>
      </c>
      <c r="I5" s="205" t="s">
        <v>687</v>
      </c>
    </row>
    <row r="6" spans="1:10" s="5" customFormat="1" x14ac:dyDescent="0.2">
      <c r="A6" s="29">
        <v>1</v>
      </c>
      <c r="B6" s="63" t="s">
        <v>347</v>
      </c>
      <c r="C6" s="51">
        <v>600</v>
      </c>
      <c r="D6" s="51"/>
      <c r="E6" s="51">
        <v>30265.41</v>
      </c>
      <c r="F6" s="51">
        <v>28814.400000000001</v>
      </c>
      <c r="G6" s="51"/>
      <c r="H6" s="51"/>
      <c r="I6" s="136">
        <f t="shared" ref="I6:I17" si="0">SUM(C6:H6)</f>
        <v>59679.81</v>
      </c>
      <c r="J6" s="5">
        <f>J9</f>
        <v>0</v>
      </c>
    </row>
    <row r="7" spans="1:10" s="5" customFormat="1" x14ac:dyDescent="0.2">
      <c r="A7" s="29"/>
      <c r="B7" s="64" t="s">
        <v>274</v>
      </c>
      <c r="C7" s="51"/>
      <c r="D7" s="51"/>
      <c r="E7" s="51"/>
      <c r="F7" s="51"/>
      <c r="G7" s="51"/>
      <c r="H7" s="51"/>
      <c r="I7" s="136"/>
    </row>
    <row r="8" spans="1:10" s="5" customFormat="1" x14ac:dyDescent="0.2">
      <c r="A8" s="29">
        <v>2</v>
      </c>
      <c r="B8" s="106" t="s">
        <v>51</v>
      </c>
      <c r="C8" s="51">
        <v>600</v>
      </c>
      <c r="D8" s="51"/>
      <c r="E8" s="51">
        <v>30265.41</v>
      </c>
      <c r="F8" s="51">
        <v>28814.400000000001</v>
      </c>
      <c r="G8" s="51"/>
      <c r="H8" s="51"/>
      <c r="I8" s="136">
        <f t="shared" si="0"/>
        <v>59679.81</v>
      </c>
    </row>
    <row r="9" spans="1:10" x14ac:dyDescent="0.25">
      <c r="A9" s="29">
        <v>3</v>
      </c>
      <c r="B9" s="63" t="s">
        <v>256</v>
      </c>
      <c r="C9" s="51"/>
      <c r="D9" s="51"/>
      <c r="E9" s="51">
        <v>12500</v>
      </c>
      <c r="F9" s="51">
        <v>0</v>
      </c>
      <c r="G9" s="51"/>
      <c r="H9" s="51"/>
      <c r="I9" s="136">
        <f t="shared" si="0"/>
        <v>12500</v>
      </c>
    </row>
    <row r="10" spans="1:10" ht="31.5" x14ac:dyDescent="0.25">
      <c r="A10" s="29">
        <v>4</v>
      </c>
      <c r="B10" s="496" t="s">
        <v>1006</v>
      </c>
      <c r="C10" s="57">
        <f>SUM(C11:C16)</f>
        <v>18205.46</v>
      </c>
      <c r="D10" s="57">
        <f t="shared" ref="D10:I10" si="1">SUM(D11:D16)</f>
        <v>0</v>
      </c>
      <c r="E10" s="57">
        <f t="shared" si="1"/>
        <v>292210.49999999994</v>
      </c>
      <c r="F10" s="57">
        <f t="shared" si="1"/>
        <v>344334.36000000004</v>
      </c>
      <c r="G10" s="57">
        <f t="shared" si="1"/>
        <v>0</v>
      </c>
      <c r="H10" s="57">
        <f t="shared" si="1"/>
        <v>0</v>
      </c>
      <c r="I10" s="136">
        <f t="shared" si="1"/>
        <v>654750.32000000007</v>
      </c>
      <c r="J10" s="471"/>
    </row>
    <row r="11" spans="1:10" x14ac:dyDescent="0.25">
      <c r="A11" s="29">
        <v>5</v>
      </c>
      <c r="B11" s="497" t="s">
        <v>317</v>
      </c>
      <c r="C11" s="51">
        <v>0</v>
      </c>
      <c r="D11" s="51"/>
      <c r="E11" s="51">
        <v>0</v>
      </c>
      <c r="F11" s="51">
        <v>0</v>
      </c>
      <c r="G11" s="51"/>
      <c r="H11" s="51"/>
      <c r="I11" s="136">
        <f t="shared" si="0"/>
        <v>0</v>
      </c>
    </row>
    <row r="12" spans="1:10" x14ac:dyDescent="0.25">
      <c r="A12" s="29">
        <v>6</v>
      </c>
      <c r="B12" s="497" t="s">
        <v>984</v>
      </c>
      <c r="C12" s="51">
        <v>0</v>
      </c>
      <c r="D12" s="51"/>
      <c r="E12" s="51">
        <v>49680</v>
      </c>
      <c r="F12" s="51">
        <v>0</v>
      </c>
      <c r="G12" s="51"/>
      <c r="H12" s="51"/>
      <c r="I12" s="136">
        <f t="shared" si="0"/>
        <v>49680</v>
      </c>
      <c r="J12" s="472"/>
    </row>
    <row r="13" spans="1:10" x14ac:dyDescent="0.25">
      <c r="A13" s="29">
        <v>7</v>
      </c>
      <c r="B13" s="297" t="s">
        <v>318</v>
      </c>
      <c r="C13" s="51">
        <v>1415</v>
      </c>
      <c r="D13" s="51"/>
      <c r="E13" s="51">
        <v>64772.63</v>
      </c>
      <c r="F13" s="51">
        <v>112276.89</v>
      </c>
      <c r="G13" s="51"/>
      <c r="H13" s="51"/>
      <c r="I13" s="136">
        <f t="shared" si="0"/>
        <v>178464.52000000002</v>
      </c>
    </row>
    <row r="14" spans="1:10" ht="31.5" x14ac:dyDescent="0.25">
      <c r="A14" s="29">
        <v>8</v>
      </c>
      <c r="B14" s="497" t="s">
        <v>319</v>
      </c>
      <c r="C14" s="51">
        <v>13731.23</v>
      </c>
      <c r="D14" s="51"/>
      <c r="E14" s="51">
        <v>171976.6</v>
      </c>
      <c r="F14" s="51">
        <v>220204.51</v>
      </c>
      <c r="G14" s="51"/>
      <c r="H14" s="51"/>
      <c r="I14" s="136">
        <f t="shared" si="0"/>
        <v>405912.34</v>
      </c>
    </row>
    <row r="15" spans="1:10" ht="31.5" x14ac:dyDescent="0.25">
      <c r="A15" s="41">
        <v>9</v>
      </c>
      <c r="B15" s="497" t="s">
        <v>320</v>
      </c>
      <c r="C15" s="51">
        <v>3059.23</v>
      </c>
      <c r="D15" s="51"/>
      <c r="E15" s="51">
        <v>449.16</v>
      </c>
      <c r="F15" s="51">
        <v>11852.96</v>
      </c>
      <c r="G15" s="51"/>
      <c r="H15" s="51"/>
      <c r="I15" s="136">
        <f t="shared" si="0"/>
        <v>15361.349999999999</v>
      </c>
    </row>
    <row r="16" spans="1:10" x14ac:dyDescent="0.25">
      <c r="A16" s="29">
        <v>10</v>
      </c>
      <c r="B16" s="497" t="s">
        <v>981</v>
      </c>
      <c r="C16" s="51">
        <v>0</v>
      </c>
      <c r="D16" s="51"/>
      <c r="E16" s="51">
        <v>5332.11</v>
      </c>
      <c r="F16" s="51">
        <v>0</v>
      </c>
      <c r="G16" s="51"/>
      <c r="H16" s="51"/>
      <c r="I16" s="136">
        <f t="shared" si="0"/>
        <v>5332.11</v>
      </c>
      <c r="J16" s="471"/>
    </row>
    <row r="17" spans="1:9" x14ac:dyDescent="0.25">
      <c r="A17" s="29">
        <v>11</v>
      </c>
      <c r="B17" s="498" t="s">
        <v>159</v>
      </c>
      <c r="C17" s="51">
        <v>0</v>
      </c>
      <c r="D17" s="51"/>
      <c r="E17" s="51">
        <v>27816</v>
      </c>
      <c r="F17" s="51">
        <v>29538</v>
      </c>
      <c r="G17" s="51"/>
      <c r="H17" s="51"/>
      <c r="I17" s="136">
        <f t="shared" si="0"/>
        <v>57354</v>
      </c>
    </row>
    <row r="18" spans="1:9" x14ac:dyDescent="0.25">
      <c r="A18" s="41">
        <v>12</v>
      </c>
      <c r="B18" s="496" t="s">
        <v>160</v>
      </c>
      <c r="C18" s="51">
        <v>9510</v>
      </c>
      <c r="D18" s="51"/>
      <c r="E18" s="51">
        <v>91824</v>
      </c>
      <c r="F18" s="51">
        <v>165701.79999999999</v>
      </c>
      <c r="G18" s="51"/>
      <c r="H18" s="51"/>
      <c r="I18" s="136">
        <f t="shared" ref="I18:I23" si="2">SUM(C18:H18)</f>
        <v>267035.8</v>
      </c>
    </row>
    <row r="19" spans="1:9" x14ac:dyDescent="0.25">
      <c r="A19" s="29">
        <v>13</v>
      </c>
      <c r="B19" s="496" t="s">
        <v>271</v>
      </c>
      <c r="C19" s="51">
        <v>5109169.05</v>
      </c>
      <c r="D19" s="51"/>
      <c r="E19" s="51">
        <v>1540331.44</v>
      </c>
      <c r="F19" s="51">
        <v>189102.61</v>
      </c>
      <c r="G19" s="51"/>
      <c r="H19" s="51"/>
      <c r="I19" s="136">
        <f t="shared" si="2"/>
        <v>6838603.1000000006</v>
      </c>
    </row>
    <row r="20" spans="1:9" x14ac:dyDescent="0.25">
      <c r="A20" s="29">
        <v>14</v>
      </c>
      <c r="B20" s="496" t="s">
        <v>161</v>
      </c>
      <c r="C20" s="51">
        <v>0</v>
      </c>
      <c r="D20" s="51"/>
      <c r="E20" s="51">
        <v>62848</v>
      </c>
      <c r="F20" s="51">
        <v>46506.95</v>
      </c>
      <c r="G20" s="51"/>
      <c r="H20" s="51"/>
      <c r="I20" s="136">
        <f t="shared" si="2"/>
        <v>109354.95</v>
      </c>
    </row>
    <row r="21" spans="1:9" x14ac:dyDescent="0.25">
      <c r="A21" s="41">
        <v>15</v>
      </c>
      <c r="B21" s="496" t="s">
        <v>279</v>
      </c>
      <c r="C21" s="51">
        <v>0</v>
      </c>
      <c r="D21" s="51"/>
      <c r="E21" s="51">
        <v>0</v>
      </c>
      <c r="F21" s="51">
        <v>0</v>
      </c>
      <c r="G21" s="51"/>
      <c r="H21" s="51"/>
      <c r="I21" s="136">
        <f t="shared" si="2"/>
        <v>0</v>
      </c>
    </row>
    <row r="22" spans="1:9" x14ac:dyDescent="0.25">
      <c r="A22" s="29">
        <v>16</v>
      </c>
      <c r="B22" s="499" t="s">
        <v>946</v>
      </c>
      <c r="C22" s="449">
        <v>0</v>
      </c>
      <c r="D22" s="51"/>
      <c r="E22" s="51">
        <v>0</v>
      </c>
      <c r="F22" s="51">
        <v>0</v>
      </c>
      <c r="G22" s="51"/>
      <c r="H22" s="51"/>
      <c r="I22" s="136">
        <f t="shared" si="2"/>
        <v>0</v>
      </c>
    </row>
    <row r="23" spans="1:9" ht="48" thickBot="1" x14ac:dyDescent="0.3">
      <c r="A23" s="30">
        <v>17</v>
      </c>
      <c r="B23" s="500" t="s">
        <v>1007</v>
      </c>
      <c r="C23" s="450">
        <f>+C6+C9+C10+C17+C18+C19+C20+C21+C22</f>
        <v>5137484.51</v>
      </c>
      <c r="D23" s="353">
        <f t="shared" ref="D23:H23" si="3">+D6+D9+D10+D17+D18+D19+D20+D21+D22</f>
        <v>0</v>
      </c>
      <c r="E23" s="353">
        <f t="shared" si="3"/>
        <v>2057795.3499999999</v>
      </c>
      <c r="F23" s="353">
        <f t="shared" si="3"/>
        <v>803998.12</v>
      </c>
      <c r="G23" s="353">
        <f t="shared" si="3"/>
        <v>0</v>
      </c>
      <c r="H23" s="353">
        <f t="shared" si="3"/>
        <v>0</v>
      </c>
      <c r="I23" s="596">
        <f t="shared" si="2"/>
        <v>7999277.9799999995</v>
      </c>
    </row>
    <row r="24" spans="1:9" x14ac:dyDescent="0.25">
      <c r="C24" s="193"/>
      <c r="D24" s="192"/>
      <c r="E24" s="192"/>
      <c r="F24" s="192"/>
      <c r="G24" s="192"/>
      <c r="H24" s="192"/>
    </row>
    <row r="25" spans="1:9" x14ac:dyDescent="0.25">
      <c r="A25" s="489" t="s">
        <v>988</v>
      </c>
      <c r="B25" s="490" t="s">
        <v>1005</v>
      </c>
      <c r="C25" s="192"/>
      <c r="D25" s="192"/>
      <c r="E25" s="192"/>
      <c r="F25" s="192"/>
      <c r="G25" s="192"/>
      <c r="H25"/>
      <c r="I25"/>
    </row>
    <row r="26" spans="1:9" x14ac:dyDescent="0.25">
      <c r="C26" s="192"/>
      <c r="D26" s="192"/>
      <c r="E26" s="192"/>
      <c r="F26" s="192"/>
      <c r="G26" s="192"/>
      <c r="H26" s="192"/>
    </row>
    <row r="27" spans="1:9" x14ac:dyDescent="0.25">
      <c r="B27" s="8" t="s">
        <v>1285</v>
      </c>
      <c r="C27" s="192"/>
      <c r="D27" s="739">
        <v>7999277.9800000004</v>
      </c>
      <c r="E27" s="192"/>
      <c r="F27" s="192"/>
      <c r="G27" s="192"/>
      <c r="H27" s="192"/>
    </row>
    <row r="28" spans="1:9" x14ac:dyDescent="0.25">
      <c r="C28" s="192"/>
      <c r="D28" s="192"/>
      <c r="E28" s="192"/>
      <c r="F28" s="192"/>
      <c r="G28" s="192"/>
      <c r="H28" s="192"/>
    </row>
    <row r="29" spans="1:9" x14ac:dyDescent="0.25">
      <c r="C29" s="192"/>
      <c r="D29" s="192"/>
      <c r="E29" s="192"/>
      <c r="F29" s="192"/>
      <c r="G29" s="192"/>
      <c r="H29" s="192"/>
    </row>
    <row r="30" spans="1:9" x14ac:dyDescent="0.25">
      <c r="C30" s="192"/>
      <c r="D30" s="192"/>
      <c r="E30" s="192"/>
      <c r="F30" s="192"/>
      <c r="G30" s="192"/>
      <c r="H30" s="192"/>
    </row>
    <row r="31" spans="1:9" x14ac:dyDescent="0.25">
      <c r="C31" s="192"/>
      <c r="D31" s="192"/>
      <c r="E31" s="192"/>
      <c r="F31" s="192"/>
      <c r="G31" s="192"/>
      <c r="H31" s="192"/>
    </row>
    <row r="32" spans="1:9" x14ac:dyDescent="0.25">
      <c r="C32" s="192"/>
      <c r="D32" s="192"/>
      <c r="E32" s="192"/>
      <c r="F32" s="192"/>
      <c r="G32" s="192"/>
      <c r="H32" s="192"/>
    </row>
    <row r="33" spans="3:8" x14ac:dyDescent="0.25">
      <c r="C33" s="192"/>
      <c r="D33" s="192"/>
      <c r="E33" s="192"/>
      <c r="F33" s="192"/>
      <c r="G33" s="192"/>
      <c r="H33" s="192"/>
    </row>
    <row r="34" spans="3:8" x14ac:dyDescent="0.25">
      <c r="C34" s="192"/>
      <c r="D34" s="192"/>
      <c r="E34" s="192"/>
      <c r="F34" s="192"/>
      <c r="G34" s="192"/>
      <c r="H34" s="192"/>
    </row>
    <row r="35" spans="3:8" x14ac:dyDescent="0.25">
      <c r="C35" s="192"/>
      <c r="D35" s="192"/>
      <c r="E35" s="192"/>
      <c r="F35" s="192"/>
      <c r="G35" s="192"/>
      <c r="H35" s="192"/>
    </row>
    <row r="36" spans="3:8" x14ac:dyDescent="0.25">
      <c r="C36" s="192"/>
      <c r="D36" s="192"/>
      <c r="E36" s="192"/>
      <c r="F36" s="192"/>
      <c r="G36" s="192"/>
      <c r="H36" s="192"/>
    </row>
    <row r="37" spans="3:8" x14ac:dyDescent="0.25">
      <c r="C37" s="192"/>
      <c r="D37" s="192"/>
      <c r="E37" s="192"/>
      <c r="F37" s="192"/>
      <c r="G37" s="192"/>
      <c r="H37" s="192"/>
    </row>
    <row r="38" spans="3:8" x14ac:dyDescent="0.25">
      <c r="C38" s="192"/>
      <c r="D38" s="192"/>
      <c r="E38" s="192"/>
      <c r="F38" s="192"/>
      <c r="G38" s="192"/>
      <c r="H38" s="192"/>
    </row>
    <row r="39" spans="3:8" x14ac:dyDescent="0.25">
      <c r="C39" s="192"/>
      <c r="D39" s="192"/>
      <c r="E39" s="192"/>
      <c r="F39" s="192"/>
      <c r="G39" s="192"/>
      <c r="H39" s="192"/>
    </row>
    <row r="40" spans="3:8" x14ac:dyDescent="0.25">
      <c r="C40" s="192"/>
      <c r="D40" s="192"/>
      <c r="E40" s="192"/>
      <c r="F40" s="192"/>
      <c r="G40" s="192"/>
      <c r="H40" s="192"/>
    </row>
    <row r="41" spans="3:8" x14ac:dyDescent="0.25">
      <c r="C41" s="192"/>
      <c r="D41" s="192"/>
      <c r="E41" s="192"/>
      <c r="F41" s="192"/>
      <c r="G41" s="192"/>
      <c r="H41" s="192"/>
    </row>
    <row r="42" spans="3:8" x14ac:dyDescent="0.25">
      <c r="C42" s="192"/>
      <c r="D42" s="192"/>
      <c r="E42" s="192"/>
      <c r="F42" s="192"/>
      <c r="G42" s="192"/>
      <c r="H42" s="192"/>
    </row>
    <row r="43" spans="3:8" x14ac:dyDescent="0.25">
      <c r="C43" s="192"/>
      <c r="D43" s="192"/>
      <c r="E43" s="192"/>
      <c r="F43" s="192"/>
      <c r="G43" s="192"/>
      <c r="H43" s="192"/>
    </row>
    <row r="44" spans="3:8" x14ac:dyDescent="0.25">
      <c r="C44" s="192"/>
      <c r="D44" s="192"/>
      <c r="E44" s="192"/>
      <c r="F44" s="192"/>
      <c r="G44" s="192"/>
      <c r="H44" s="192"/>
    </row>
    <row r="45" spans="3:8" x14ac:dyDescent="0.25">
      <c r="C45" s="192"/>
      <c r="D45" s="192"/>
      <c r="E45" s="192"/>
      <c r="F45" s="192"/>
      <c r="G45" s="192"/>
      <c r="H45" s="192"/>
    </row>
    <row r="46" spans="3:8" x14ac:dyDescent="0.25">
      <c r="C46" s="192"/>
      <c r="D46" s="192"/>
      <c r="E46" s="192"/>
      <c r="F46" s="192"/>
      <c r="G46" s="192"/>
      <c r="H46" s="192"/>
    </row>
    <row r="47" spans="3:8" x14ac:dyDescent="0.25">
      <c r="C47" s="192"/>
      <c r="D47" s="192"/>
      <c r="E47" s="192"/>
      <c r="F47" s="192"/>
      <c r="G47" s="192"/>
      <c r="H47" s="192"/>
    </row>
    <row r="48" spans="3:8" x14ac:dyDescent="0.25">
      <c r="C48" s="192"/>
      <c r="D48" s="192"/>
      <c r="E48" s="192"/>
      <c r="F48" s="192"/>
      <c r="G48" s="192"/>
      <c r="H48" s="192"/>
    </row>
    <row r="49" spans="3:8" x14ac:dyDescent="0.25">
      <c r="C49" s="192"/>
      <c r="D49" s="192"/>
      <c r="E49" s="192"/>
      <c r="F49" s="192"/>
      <c r="G49" s="192"/>
      <c r="H49" s="192"/>
    </row>
    <row r="50" spans="3:8" x14ac:dyDescent="0.25">
      <c r="C50" s="192"/>
      <c r="D50" s="192"/>
      <c r="E50" s="192"/>
      <c r="F50" s="192"/>
      <c r="G50" s="192"/>
      <c r="H50" s="192"/>
    </row>
    <row r="51" spans="3:8" x14ac:dyDescent="0.25">
      <c r="C51" s="192"/>
      <c r="D51" s="192"/>
      <c r="E51" s="192"/>
      <c r="F51" s="192"/>
      <c r="G51" s="192"/>
      <c r="H51" s="192"/>
    </row>
    <row r="52" spans="3:8" x14ac:dyDescent="0.25">
      <c r="C52" s="192"/>
      <c r="D52" s="192"/>
      <c r="E52" s="192"/>
      <c r="F52" s="192"/>
      <c r="G52" s="192"/>
      <c r="H52" s="192"/>
    </row>
    <row r="53" spans="3:8" x14ac:dyDescent="0.25">
      <c r="C53" s="192"/>
      <c r="D53" s="192"/>
      <c r="E53" s="192"/>
      <c r="F53" s="192"/>
      <c r="G53" s="192"/>
      <c r="H53" s="192"/>
    </row>
    <row r="54" spans="3:8" x14ac:dyDescent="0.25">
      <c r="C54" s="192"/>
      <c r="D54" s="192"/>
      <c r="E54" s="192"/>
      <c r="F54" s="192"/>
      <c r="G54" s="192"/>
      <c r="H54" s="192"/>
    </row>
    <row r="55" spans="3:8" x14ac:dyDescent="0.25">
      <c r="C55" s="192"/>
      <c r="D55" s="192"/>
      <c r="E55" s="192"/>
      <c r="F55" s="192"/>
      <c r="G55" s="192"/>
      <c r="H55" s="192"/>
    </row>
    <row r="56" spans="3:8" x14ac:dyDescent="0.25">
      <c r="C56" s="192"/>
      <c r="D56" s="192"/>
      <c r="E56" s="192"/>
      <c r="F56" s="192"/>
      <c r="G56" s="192"/>
      <c r="H56" s="192"/>
    </row>
    <row r="57" spans="3:8" x14ac:dyDescent="0.25">
      <c r="C57" s="192"/>
      <c r="D57" s="192"/>
      <c r="E57" s="192"/>
      <c r="F57" s="192"/>
      <c r="G57" s="192"/>
      <c r="H57" s="192"/>
    </row>
    <row r="58" spans="3:8" x14ac:dyDescent="0.25">
      <c r="C58" s="192"/>
      <c r="D58" s="192"/>
      <c r="E58" s="192"/>
      <c r="F58" s="192"/>
      <c r="G58" s="192"/>
      <c r="H58" s="192"/>
    </row>
    <row r="59" spans="3:8" x14ac:dyDescent="0.25">
      <c r="C59" s="192"/>
      <c r="D59" s="192"/>
      <c r="E59" s="192"/>
      <c r="F59" s="192"/>
      <c r="G59" s="192"/>
      <c r="H59" s="192"/>
    </row>
    <row r="60" spans="3:8" x14ac:dyDescent="0.25">
      <c r="C60" s="192"/>
      <c r="D60" s="192"/>
      <c r="E60" s="192"/>
      <c r="F60" s="192"/>
      <c r="G60" s="192"/>
      <c r="H60" s="192"/>
    </row>
    <row r="61" spans="3:8" x14ac:dyDescent="0.25">
      <c r="C61" s="192"/>
      <c r="D61" s="192"/>
      <c r="E61" s="192"/>
      <c r="F61" s="192"/>
      <c r="G61" s="192"/>
      <c r="H61" s="192"/>
    </row>
    <row r="62" spans="3:8" x14ac:dyDescent="0.25">
      <c r="C62" s="192"/>
      <c r="D62" s="192"/>
      <c r="E62" s="192"/>
      <c r="F62" s="192"/>
      <c r="G62" s="192"/>
      <c r="H62" s="192"/>
    </row>
    <row r="63" spans="3:8" x14ac:dyDescent="0.25">
      <c r="C63" s="192"/>
      <c r="D63" s="192"/>
      <c r="E63" s="192"/>
      <c r="F63" s="192"/>
      <c r="G63" s="192"/>
      <c r="H63" s="192"/>
    </row>
    <row r="64" spans="3:8" x14ac:dyDescent="0.25">
      <c r="C64" s="192"/>
      <c r="D64" s="192"/>
      <c r="E64" s="192"/>
      <c r="F64" s="192"/>
      <c r="G64" s="192"/>
      <c r="H64" s="192"/>
    </row>
    <row r="65" spans="3:8" x14ac:dyDescent="0.25">
      <c r="C65" s="192"/>
      <c r="D65" s="192"/>
      <c r="E65" s="192"/>
      <c r="F65" s="192"/>
      <c r="G65" s="192"/>
      <c r="H65" s="192"/>
    </row>
    <row r="66" spans="3:8" x14ac:dyDescent="0.25">
      <c r="C66" s="192"/>
      <c r="D66" s="192"/>
      <c r="E66" s="192"/>
      <c r="F66" s="192"/>
      <c r="G66" s="192"/>
      <c r="H66" s="192"/>
    </row>
    <row r="67" spans="3:8" x14ac:dyDescent="0.25">
      <c r="C67" s="192"/>
      <c r="D67" s="192"/>
      <c r="E67" s="192"/>
      <c r="F67" s="192"/>
      <c r="G67" s="192"/>
      <c r="H67" s="192"/>
    </row>
    <row r="68" spans="3:8" x14ac:dyDescent="0.25">
      <c r="C68" s="192"/>
      <c r="D68" s="192"/>
      <c r="E68" s="192"/>
      <c r="F68" s="192"/>
      <c r="G68" s="192"/>
      <c r="H68" s="192"/>
    </row>
    <row r="69" spans="3:8" x14ac:dyDescent="0.25">
      <c r="C69" s="192"/>
      <c r="D69" s="192"/>
      <c r="E69" s="192"/>
      <c r="F69" s="192"/>
      <c r="G69" s="192"/>
      <c r="H69" s="192"/>
    </row>
    <row r="70" spans="3:8" x14ac:dyDescent="0.25">
      <c r="C70" s="192"/>
      <c r="D70" s="192"/>
      <c r="E70" s="192"/>
      <c r="F70" s="192"/>
      <c r="G70" s="192"/>
      <c r="H70" s="192"/>
    </row>
    <row r="71" spans="3:8" x14ac:dyDescent="0.25">
      <c r="C71" s="192"/>
      <c r="D71" s="192"/>
      <c r="E71" s="192"/>
      <c r="F71" s="192"/>
      <c r="G71" s="192"/>
      <c r="H71" s="192"/>
    </row>
    <row r="72" spans="3:8" x14ac:dyDescent="0.25">
      <c r="C72" s="192"/>
      <c r="D72" s="192"/>
      <c r="E72" s="192"/>
      <c r="F72" s="192"/>
      <c r="G72" s="192"/>
      <c r="H72" s="192"/>
    </row>
    <row r="73" spans="3:8" x14ac:dyDescent="0.25">
      <c r="C73" s="192"/>
      <c r="D73" s="192"/>
      <c r="E73" s="192"/>
      <c r="F73" s="192"/>
      <c r="G73" s="192"/>
      <c r="H73" s="192"/>
    </row>
    <row r="74" spans="3:8" x14ac:dyDescent="0.25">
      <c r="C74" s="192"/>
      <c r="D74" s="192"/>
      <c r="E74" s="192"/>
      <c r="F74" s="192"/>
      <c r="G74" s="192"/>
      <c r="H74" s="192"/>
    </row>
    <row r="75" spans="3:8" x14ac:dyDescent="0.25">
      <c r="C75" s="192"/>
      <c r="D75" s="192"/>
      <c r="E75" s="192"/>
      <c r="F75" s="192"/>
      <c r="G75" s="192"/>
      <c r="H75" s="192"/>
    </row>
    <row r="76" spans="3:8" x14ac:dyDescent="0.25">
      <c r="C76" s="192"/>
      <c r="D76" s="192"/>
      <c r="E76" s="192"/>
      <c r="F76" s="192"/>
      <c r="G76" s="192"/>
      <c r="H76" s="192"/>
    </row>
    <row r="77" spans="3:8" x14ac:dyDescent="0.25">
      <c r="C77" s="192"/>
      <c r="D77" s="192"/>
      <c r="E77" s="192"/>
      <c r="F77" s="192"/>
      <c r="G77" s="192"/>
      <c r="H77" s="192"/>
    </row>
    <row r="78" spans="3:8" x14ac:dyDescent="0.25">
      <c r="C78" s="192"/>
      <c r="D78" s="192"/>
      <c r="E78" s="192"/>
      <c r="F78" s="192"/>
      <c r="G78" s="192"/>
      <c r="H78" s="192"/>
    </row>
    <row r="79" spans="3:8" x14ac:dyDescent="0.25">
      <c r="C79" s="192"/>
      <c r="D79" s="192"/>
      <c r="E79" s="192"/>
      <c r="F79" s="192"/>
      <c r="G79" s="192"/>
      <c r="H79" s="192"/>
    </row>
    <row r="80" spans="3:8" x14ac:dyDescent="0.25">
      <c r="C80" s="192"/>
      <c r="D80" s="192"/>
      <c r="E80" s="192"/>
      <c r="F80" s="192"/>
      <c r="G80" s="192"/>
      <c r="H80" s="192"/>
    </row>
    <row r="81" spans="3:8" x14ac:dyDescent="0.25">
      <c r="C81" s="192"/>
      <c r="D81" s="192"/>
      <c r="E81" s="192"/>
      <c r="F81" s="192"/>
      <c r="G81" s="192"/>
      <c r="H81" s="192"/>
    </row>
    <row r="82" spans="3:8" x14ac:dyDescent="0.25">
      <c r="C82" s="192"/>
      <c r="D82" s="192"/>
      <c r="E82" s="192"/>
      <c r="F82" s="192"/>
      <c r="G82" s="192"/>
      <c r="H82" s="192"/>
    </row>
    <row r="83" spans="3:8" x14ac:dyDescent="0.25">
      <c r="C83" s="192"/>
      <c r="D83" s="192"/>
      <c r="E83" s="192"/>
      <c r="F83" s="192"/>
      <c r="G83" s="192"/>
      <c r="H83" s="192"/>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63"/>
  <sheetViews>
    <sheetView zoomScale="90" zoomScaleNormal="90" workbookViewId="0">
      <pane xSplit="2" ySplit="5" topLeftCell="J6" activePane="bottomRight" state="frozen"/>
      <selection pane="topRight" activeCell="C1" sqref="C1"/>
      <selection pane="bottomLeft" activeCell="A6" sqref="A6"/>
      <selection pane="bottomRight" activeCell="N40" sqref="N40"/>
    </sheetView>
  </sheetViews>
  <sheetFormatPr defaultColWidth="9.140625" defaultRowHeight="15.75" x14ac:dyDescent="0.25"/>
  <cols>
    <col min="1" max="1" width="7.28515625" style="218" customWidth="1"/>
    <col min="2" max="2" width="61.7109375" style="223" customWidth="1"/>
    <col min="3" max="3" width="18.28515625" style="218" customWidth="1"/>
    <col min="4" max="4" width="14.42578125" style="218" customWidth="1"/>
    <col min="5" max="5" width="15.5703125" style="218" customWidth="1"/>
    <col min="6" max="6" width="15.7109375" style="218" customWidth="1"/>
    <col min="7" max="7" width="14.140625" style="218" customWidth="1"/>
    <col min="8" max="8" width="13.28515625" style="218" customWidth="1"/>
    <col min="9" max="9" width="13.42578125" style="218" customWidth="1"/>
    <col min="10" max="10" width="15.7109375" style="218" customWidth="1"/>
    <col min="11" max="11" width="14.5703125" style="218" customWidth="1"/>
    <col min="12" max="12" width="14.42578125" style="218" customWidth="1"/>
    <col min="13" max="13" width="14.85546875" style="218" customWidth="1"/>
    <col min="14" max="14" width="14.7109375" style="218" customWidth="1"/>
    <col min="15" max="15" width="14.140625" style="218" customWidth="1"/>
    <col min="16" max="16" width="14.28515625" style="218" customWidth="1"/>
    <col min="17" max="16384" width="9.140625" style="218"/>
  </cols>
  <sheetData>
    <row r="1" spans="1:256" ht="27.75" customHeight="1" thickBot="1" x14ac:dyDescent="0.3">
      <c r="A1" s="1073" t="s">
        <v>1010</v>
      </c>
      <c r="B1" s="1074"/>
      <c r="C1" s="1074"/>
      <c r="D1" s="1074"/>
      <c r="E1" s="1074"/>
      <c r="F1" s="1074"/>
      <c r="G1" s="1074"/>
      <c r="H1" s="1074"/>
      <c r="I1" s="1074"/>
      <c r="J1" s="1074"/>
      <c r="K1" s="1074"/>
      <c r="L1" s="1074"/>
      <c r="M1" s="1074"/>
      <c r="N1" s="1075"/>
    </row>
    <row r="2" spans="1:256" ht="28.5" customHeight="1" x14ac:dyDescent="0.25">
      <c r="A2" s="1076" t="s">
        <v>369</v>
      </c>
      <c r="B2" s="1077"/>
      <c r="C2" s="1077"/>
      <c r="D2" s="1077"/>
      <c r="E2" s="1077"/>
      <c r="F2" s="1077"/>
      <c r="G2" s="1077"/>
      <c r="H2" s="1077"/>
      <c r="I2" s="1078"/>
      <c r="J2" s="1078"/>
      <c r="K2" s="1077"/>
      <c r="L2" s="1077"/>
      <c r="M2" s="1077"/>
      <c r="N2" s="1079"/>
    </row>
    <row r="3" spans="1:256" ht="51.75" customHeight="1" x14ac:dyDescent="0.25">
      <c r="A3" s="1080" t="s">
        <v>180</v>
      </c>
      <c r="B3" s="1081" t="s">
        <v>828</v>
      </c>
      <c r="C3" s="1069" t="s">
        <v>302</v>
      </c>
      <c r="D3" s="1069"/>
      <c r="E3" s="1069" t="s">
        <v>303</v>
      </c>
      <c r="F3" s="1069"/>
      <c r="G3" s="1069" t="s">
        <v>304</v>
      </c>
      <c r="H3" s="1055"/>
      <c r="I3" s="1083" t="s">
        <v>744</v>
      </c>
      <c r="J3" s="1083"/>
      <c r="K3" s="1084" t="s">
        <v>280</v>
      </c>
      <c r="L3" s="1069"/>
      <c r="M3" s="1069" t="s">
        <v>297</v>
      </c>
      <c r="N3" s="1070"/>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c r="IV3" s="219"/>
    </row>
    <row r="4" spans="1:256" ht="17.25" customHeight="1" x14ac:dyDescent="0.25">
      <c r="A4" s="1080"/>
      <c r="B4" s="1082"/>
      <c r="C4" s="385">
        <v>2018</v>
      </c>
      <c r="D4" s="385">
        <v>2019</v>
      </c>
      <c r="E4" s="488">
        <v>2018</v>
      </c>
      <c r="F4" s="488">
        <v>2019</v>
      </c>
      <c r="G4" s="488">
        <v>2018</v>
      </c>
      <c r="H4" s="488">
        <v>2019</v>
      </c>
      <c r="I4" s="488">
        <v>2018</v>
      </c>
      <c r="J4" s="488">
        <v>2019</v>
      </c>
      <c r="K4" s="488">
        <v>2018</v>
      </c>
      <c r="L4" s="488">
        <v>2019</v>
      </c>
      <c r="M4" s="441">
        <v>2018</v>
      </c>
      <c r="N4" s="441">
        <v>2019</v>
      </c>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c r="IV4" s="219"/>
    </row>
    <row r="5" spans="1:256" x14ac:dyDescent="0.25">
      <c r="A5" s="41"/>
      <c r="B5" s="220"/>
      <c r="C5" s="35" t="s">
        <v>257</v>
      </c>
      <c r="D5" s="35" t="s">
        <v>258</v>
      </c>
      <c r="E5" s="35" t="s">
        <v>259</v>
      </c>
      <c r="F5" s="35" t="s">
        <v>266</v>
      </c>
      <c r="G5" s="35" t="s">
        <v>260</v>
      </c>
      <c r="H5" s="251" t="s">
        <v>261</v>
      </c>
      <c r="I5" s="35" t="s">
        <v>262</v>
      </c>
      <c r="J5" s="35" t="s">
        <v>263</v>
      </c>
      <c r="K5" s="35" t="s">
        <v>264</v>
      </c>
      <c r="L5" s="35" t="s">
        <v>684</v>
      </c>
      <c r="M5" s="411" t="s">
        <v>907</v>
      </c>
      <c r="N5" s="412" t="s">
        <v>908</v>
      </c>
      <c r="O5" s="219"/>
      <c r="P5" s="219"/>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row>
    <row r="6" spans="1:256" x14ac:dyDescent="0.25">
      <c r="A6" s="41">
        <v>1</v>
      </c>
      <c r="B6" s="333" t="s">
        <v>176</v>
      </c>
      <c r="C6" s="597">
        <v>247136.59</v>
      </c>
      <c r="D6" s="597">
        <f>C17</f>
        <v>731800.39</v>
      </c>
      <c r="E6" s="600">
        <v>19101855.609999999</v>
      </c>
      <c r="F6" s="597">
        <f>E17</f>
        <v>21017644.649999999</v>
      </c>
      <c r="G6" s="602">
        <v>1046611.11</v>
      </c>
      <c r="H6" s="603">
        <f>G17</f>
        <v>1050518.21</v>
      </c>
      <c r="I6" s="600">
        <v>1917.26</v>
      </c>
      <c r="J6" s="597">
        <f>SUM(I17)</f>
        <v>5799.26</v>
      </c>
      <c r="K6" s="600">
        <v>816628.83</v>
      </c>
      <c r="L6" s="597">
        <f>SUM(K17)</f>
        <v>710367.82000000007</v>
      </c>
      <c r="M6" s="285">
        <f t="shared" ref="M6:N8" si="0">C6+E6+G6+I6+K6</f>
        <v>21214149.399999999</v>
      </c>
      <c r="N6" s="286">
        <f t="shared" si="0"/>
        <v>23516130.330000002</v>
      </c>
      <c r="O6" s="219"/>
      <c r="P6" s="219"/>
    </row>
    <row r="7" spans="1:256" x14ac:dyDescent="0.25">
      <c r="A7" s="41">
        <v>2</v>
      </c>
      <c r="B7" s="334" t="s">
        <v>722</v>
      </c>
      <c r="C7" s="597">
        <f t="shared" ref="C7" si="1">SUM(C8:C15)</f>
        <v>710084.13</v>
      </c>
      <c r="D7" s="597">
        <f t="shared" ref="D7:L7" si="2">SUM(D8:D15)</f>
        <v>847483.71</v>
      </c>
      <c r="E7" s="597">
        <f t="shared" si="2"/>
        <v>2473105.63</v>
      </c>
      <c r="F7" s="597">
        <f t="shared" si="2"/>
        <v>2306282.33</v>
      </c>
      <c r="G7" s="603">
        <f>SUM(G8:G15)</f>
        <v>2932003.83</v>
      </c>
      <c r="H7" s="603">
        <f>SUM(H8:H15)</f>
        <v>2845381.66</v>
      </c>
      <c r="I7" s="597">
        <f t="shared" si="2"/>
        <v>5000</v>
      </c>
      <c r="J7" s="597">
        <f t="shared" si="2"/>
        <v>0</v>
      </c>
      <c r="K7" s="597">
        <f t="shared" si="2"/>
        <v>265355.2</v>
      </c>
      <c r="L7" s="597">
        <f t="shared" si="2"/>
        <v>449026.48</v>
      </c>
      <c r="M7" s="285">
        <f t="shared" si="0"/>
        <v>6385548.79</v>
      </c>
      <c r="N7" s="286">
        <f t="shared" si="0"/>
        <v>6448174.1799999997</v>
      </c>
      <c r="O7" s="219"/>
      <c r="P7" s="219"/>
    </row>
    <row r="8" spans="1:256" ht="22.5" customHeight="1" x14ac:dyDescent="0.25">
      <c r="A8" s="41">
        <v>3</v>
      </c>
      <c r="B8" s="335" t="s">
        <v>81</v>
      </c>
      <c r="C8" s="598">
        <v>697339.03</v>
      </c>
      <c r="D8" s="598">
        <v>847483.71</v>
      </c>
      <c r="E8" s="598">
        <v>0</v>
      </c>
      <c r="F8" s="598">
        <v>0</v>
      </c>
      <c r="G8" s="604">
        <v>20000</v>
      </c>
      <c r="H8" s="604">
        <v>35000</v>
      </c>
      <c r="I8" s="598">
        <v>5000</v>
      </c>
      <c r="J8" s="598">
        <v>0</v>
      </c>
      <c r="K8" s="598">
        <v>0</v>
      </c>
      <c r="L8" s="598">
        <v>0</v>
      </c>
      <c r="M8" s="285">
        <f t="shared" si="0"/>
        <v>722339.03</v>
      </c>
      <c r="N8" s="286">
        <f t="shared" si="0"/>
        <v>882483.71</v>
      </c>
    </row>
    <row r="9" spans="1:256" ht="21.75" customHeight="1" x14ac:dyDescent="0.25">
      <c r="A9" s="41">
        <v>4</v>
      </c>
      <c r="B9" s="335" t="s">
        <v>286</v>
      </c>
      <c r="C9" s="599" t="s">
        <v>285</v>
      </c>
      <c r="D9" s="599" t="s">
        <v>285</v>
      </c>
      <c r="E9" s="605">
        <v>2421446.7799999998</v>
      </c>
      <c r="F9" s="605">
        <v>2250593.63</v>
      </c>
      <c r="G9" s="599" t="s">
        <v>285</v>
      </c>
      <c r="H9" s="599" t="s">
        <v>285</v>
      </c>
      <c r="I9" s="606" t="s">
        <v>285</v>
      </c>
      <c r="J9" s="606" t="s">
        <v>285</v>
      </c>
      <c r="K9" s="599" t="s">
        <v>285</v>
      </c>
      <c r="L9" s="599" t="s">
        <v>285</v>
      </c>
      <c r="M9" s="285">
        <f>E9</f>
        <v>2421446.7799999998</v>
      </c>
      <c r="N9" s="286">
        <f>F9</f>
        <v>2250593.63</v>
      </c>
    </row>
    <row r="10" spans="1:256" x14ac:dyDescent="0.25">
      <c r="A10" s="41">
        <v>5</v>
      </c>
      <c r="B10" s="335" t="s">
        <v>11</v>
      </c>
      <c r="C10" s="599" t="s">
        <v>285</v>
      </c>
      <c r="D10" s="599" t="s">
        <v>285</v>
      </c>
      <c r="E10" s="598">
        <v>46891.79</v>
      </c>
      <c r="F10" s="598">
        <v>55688.7</v>
      </c>
      <c r="G10" s="599" t="s">
        <v>285</v>
      </c>
      <c r="H10" s="599" t="s">
        <v>285</v>
      </c>
      <c r="I10" s="606" t="s">
        <v>285</v>
      </c>
      <c r="J10" s="606" t="s">
        <v>285</v>
      </c>
      <c r="K10" s="599" t="s">
        <v>285</v>
      </c>
      <c r="L10" s="599" t="s">
        <v>285</v>
      </c>
      <c r="M10" s="285">
        <f>E10</f>
        <v>46891.79</v>
      </c>
      <c r="N10" s="286">
        <f>F10</f>
        <v>55688.7</v>
      </c>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1"/>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21"/>
      <c r="HT10" s="221"/>
      <c r="HU10" s="221"/>
      <c r="HV10" s="221"/>
      <c r="HW10" s="221"/>
      <c r="HX10" s="221"/>
      <c r="HY10" s="221"/>
      <c r="HZ10" s="221"/>
      <c r="IA10" s="221"/>
      <c r="IB10" s="221"/>
      <c r="IC10" s="221"/>
      <c r="ID10" s="221"/>
      <c r="IE10" s="221"/>
      <c r="IF10" s="221"/>
      <c r="IG10" s="221"/>
      <c r="IH10" s="221"/>
      <c r="II10" s="221"/>
      <c r="IJ10" s="221"/>
      <c r="IK10" s="221"/>
      <c r="IL10" s="221"/>
      <c r="IM10" s="221"/>
      <c r="IN10" s="221"/>
      <c r="IO10" s="221"/>
      <c r="IP10" s="221"/>
      <c r="IQ10" s="221"/>
      <c r="IR10" s="221"/>
      <c r="IS10" s="221"/>
      <c r="IT10" s="221"/>
      <c r="IU10" s="221"/>
      <c r="IV10" s="221"/>
    </row>
    <row r="11" spans="1:256" x14ac:dyDescent="0.25">
      <c r="A11" s="41">
        <v>6</v>
      </c>
      <c r="B11" s="335" t="s">
        <v>287</v>
      </c>
      <c r="C11" s="599" t="s">
        <v>285</v>
      </c>
      <c r="D11" s="599" t="s">
        <v>285</v>
      </c>
      <c r="E11" s="598">
        <v>0</v>
      </c>
      <c r="F11" s="598">
        <v>0</v>
      </c>
      <c r="G11" s="604">
        <v>20000</v>
      </c>
      <c r="H11" s="604">
        <v>39857.94</v>
      </c>
      <c r="I11" s="607">
        <v>0</v>
      </c>
      <c r="J11" s="607">
        <v>0</v>
      </c>
      <c r="K11" s="600">
        <v>0</v>
      </c>
      <c r="L11" s="600">
        <v>0</v>
      </c>
      <c r="M11" s="285">
        <f>E11+G11+I11+K11</f>
        <v>20000</v>
      </c>
      <c r="N11" s="286">
        <f>F11+H11+J11+L11</f>
        <v>39857.94</v>
      </c>
    </row>
    <row r="12" spans="1:256" ht="17.25" customHeight="1" x14ac:dyDescent="0.25">
      <c r="A12" s="41">
        <v>7</v>
      </c>
      <c r="B12" s="335" t="s">
        <v>288</v>
      </c>
      <c r="C12" s="598">
        <v>0</v>
      </c>
      <c r="D12" s="598">
        <v>0</v>
      </c>
      <c r="E12" s="598">
        <v>4767.0600000000004</v>
      </c>
      <c r="F12" s="598">
        <v>0</v>
      </c>
      <c r="G12" s="604">
        <v>5440</v>
      </c>
      <c r="H12" s="604">
        <v>11067.21</v>
      </c>
      <c r="I12" s="607">
        <v>0</v>
      </c>
      <c r="J12" s="607">
        <v>0</v>
      </c>
      <c r="K12" s="598">
        <v>265355.2</v>
      </c>
      <c r="L12" s="598">
        <v>449020.79</v>
      </c>
      <c r="M12" s="285">
        <f>C12+E12+G12+I12+K12</f>
        <v>275562.26</v>
      </c>
      <c r="N12" s="286">
        <f>D12+F12+H12+J12+L12</f>
        <v>460088</v>
      </c>
    </row>
    <row r="13" spans="1:256" ht="18.75" x14ac:dyDescent="0.25">
      <c r="A13" s="41">
        <v>8</v>
      </c>
      <c r="B13" s="336" t="s">
        <v>82</v>
      </c>
      <c r="C13" s="599" t="s">
        <v>285</v>
      </c>
      <c r="D13" s="599" t="s">
        <v>285</v>
      </c>
      <c r="E13" s="599" t="s">
        <v>285</v>
      </c>
      <c r="F13" s="599" t="s">
        <v>285</v>
      </c>
      <c r="G13" s="604">
        <v>2645381</v>
      </c>
      <c r="H13" s="604">
        <v>2479187</v>
      </c>
      <c r="I13" s="608" t="s">
        <v>285</v>
      </c>
      <c r="J13" s="608" t="s">
        <v>285</v>
      </c>
      <c r="K13" s="608" t="s">
        <v>285</v>
      </c>
      <c r="L13" s="608" t="s">
        <v>285</v>
      </c>
      <c r="M13" s="285">
        <f>G13</f>
        <v>2645381</v>
      </c>
      <c r="N13" s="286">
        <f>H13</f>
        <v>2479187</v>
      </c>
    </row>
    <row r="14" spans="1:256" ht="19.5" customHeight="1" x14ac:dyDescent="0.25">
      <c r="A14" s="41">
        <v>9</v>
      </c>
      <c r="B14" s="335" t="s">
        <v>24</v>
      </c>
      <c r="C14" s="599" t="s">
        <v>285</v>
      </c>
      <c r="D14" s="599" t="s">
        <v>285</v>
      </c>
      <c r="E14" s="599" t="s">
        <v>285</v>
      </c>
      <c r="F14" s="599" t="s">
        <v>285</v>
      </c>
      <c r="G14" s="604">
        <v>193447.24</v>
      </c>
      <c r="H14" s="604">
        <v>203869.97</v>
      </c>
      <c r="I14" s="609" t="s">
        <v>285</v>
      </c>
      <c r="J14" s="609" t="s">
        <v>285</v>
      </c>
      <c r="K14" s="608" t="s">
        <v>285</v>
      </c>
      <c r="L14" s="608" t="s">
        <v>285</v>
      </c>
      <c r="M14" s="285">
        <f>G14</f>
        <v>193447.24</v>
      </c>
      <c r="N14" s="286">
        <f>H14</f>
        <v>203869.97</v>
      </c>
    </row>
    <row r="15" spans="1:256" ht="18.75" x14ac:dyDescent="0.25">
      <c r="A15" s="41">
        <v>10</v>
      </c>
      <c r="B15" s="335" t="s">
        <v>83</v>
      </c>
      <c r="C15" s="598">
        <v>12745.1</v>
      </c>
      <c r="D15" s="598">
        <v>0</v>
      </c>
      <c r="E15" s="598">
        <v>0</v>
      </c>
      <c r="F15" s="598">
        <v>0</v>
      </c>
      <c r="G15" s="604">
        <v>47735.59</v>
      </c>
      <c r="H15" s="604">
        <v>76399.539999999994</v>
      </c>
      <c r="I15" s="607">
        <v>0</v>
      </c>
      <c r="J15" s="607">
        <v>0</v>
      </c>
      <c r="K15" s="598">
        <v>0</v>
      </c>
      <c r="L15" s="598">
        <v>5.69</v>
      </c>
      <c r="M15" s="285">
        <f>C15+E15+G15+I15+K15</f>
        <v>60480.689999999995</v>
      </c>
      <c r="N15" s="286">
        <f>D15+F15+H15+J15+L15</f>
        <v>76405.23</v>
      </c>
    </row>
    <row r="16" spans="1:256" x14ac:dyDescent="0.25">
      <c r="A16" s="41">
        <v>11</v>
      </c>
      <c r="B16" s="333" t="s">
        <v>177</v>
      </c>
      <c r="C16" s="600">
        <v>225420.33</v>
      </c>
      <c r="D16" s="600">
        <v>411447.33</v>
      </c>
      <c r="E16" s="600">
        <v>557316.59</v>
      </c>
      <c r="F16" s="600">
        <v>2114410.7999999998</v>
      </c>
      <c r="G16" s="604">
        <v>2928096.73</v>
      </c>
      <c r="H16" s="604">
        <v>2747909.78</v>
      </c>
      <c r="I16" s="600">
        <v>1118</v>
      </c>
      <c r="J16" s="600">
        <v>113.31</v>
      </c>
      <c r="K16" s="600">
        <v>371616.21</v>
      </c>
      <c r="L16" s="600">
        <v>327397.31</v>
      </c>
      <c r="M16" s="285">
        <f t="shared" ref="M16:N18" si="3">C16+E16+G16+I16+K16</f>
        <v>4083567.86</v>
      </c>
      <c r="N16" s="286">
        <f t="shared" si="3"/>
        <v>5601278.5299999993</v>
      </c>
    </row>
    <row r="17" spans="1:14" x14ac:dyDescent="0.25">
      <c r="A17" s="41">
        <v>12</v>
      </c>
      <c r="B17" s="333" t="s">
        <v>25</v>
      </c>
      <c r="C17" s="597">
        <f t="shared" ref="C17" si="4">C6+C7-C16</f>
        <v>731800.39</v>
      </c>
      <c r="D17" s="597">
        <f t="shared" ref="D17:L17" si="5">D6+D7-D16</f>
        <v>1167836.77</v>
      </c>
      <c r="E17" s="597">
        <f t="shared" si="5"/>
        <v>21017644.649999999</v>
      </c>
      <c r="F17" s="597">
        <f t="shared" si="5"/>
        <v>21209516.179999996</v>
      </c>
      <c r="G17" s="603">
        <f t="shared" si="5"/>
        <v>1050518.21</v>
      </c>
      <c r="H17" s="603">
        <f t="shared" si="5"/>
        <v>1147990.0900000003</v>
      </c>
      <c r="I17" s="597">
        <f t="shared" si="5"/>
        <v>5799.26</v>
      </c>
      <c r="J17" s="597">
        <f t="shared" si="5"/>
        <v>5685.95</v>
      </c>
      <c r="K17" s="597">
        <f t="shared" si="5"/>
        <v>710367.82000000007</v>
      </c>
      <c r="L17" s="597">
        <f t="shared" si="5"/>
        <v>831996.99</v>
      </c>
      <c r="M17" s="285">
        <f t="shared" si="3"/>
        <v>23516130.330000002</v>
      </c>
      <c r="N17" s="286">
        <f t="shared" si="3"/>
        <v>24363025.979999993</v>
      </c>
    </row>
    <row r="18" spans="1:14" ht="48.75" customHeight="1" thickBot="1" x14ac:dyDescent="0.3">
      <c r="A18" s="222">
        <v>13</v>
      </c>
      <c r="B18" s="337" t="s">
        <v>827</v>
      </c>
      <c r="C18" s="601">
        <v>0</v>
      </c>
      <c r="D18" s="601">
        <v>0</v>
      </c>
      <c r="E18" s="611">
        <v>2425855.64</v>
      </c>
      <c r="F18" s="601">
        <f>'T16 - Štruktúra hotovosti'!C13</f>
        <v>3889294.61</v>
      </c>
      <c r="G18" s="610">
        <v>0</v>
      </c>
      <c r="H18" s="610">
        <v>66758.31</v>
      </c>
      <c r="I18" s="601">
        <v>0</v>
      </c>
      <c r="J18" s="601">
        <v>0</v>
      </c>
      <c r="K18" s="601">
        <v>0</v>
      </c>
      <c r="L18" s="601">
        <v>0</v>
      </c>
      <c r="M18" s="287">
        <f t="shared" si="3"/>
        <v>2425855.64</v>
      </c>
      <c r="N18" s="288">
        <f t="shared" si="3"/>
        <v>3956052.92</v>
      </c>
    </row>
    <row r="19" spans="1:14" x14ac:dyDescent="0.25">
      <c r="F19" s="476">
        <f>'T5 - Analýza nákladov'!E93+'T5 - Analýza nákladov'!F93</f>
        <v>2250593.63</v>
      </c>
      <c r="H19" s="476">
        <f>'T1-Dotácie podľa DZ'!C16+'T1-Dotácie podľa DZ'!C17</f>
        <v>2479997</v>
      </c>
      <c r="I19" s="224"/>
      <c r="J19" s="224"/>
    </row>
    <row r="20" spans="1:14" x14ac:dyDescent="0.25">
      <c r="A20" s="224" t="s">
        <v>84</v>
      </c>
      <c r="B20" s="224"/>
      <c r="C20" s="224"/>
      <c r="E20" s="224"/>
      <c r="F20" s="224"/>
      <c r="G20" s="224"/>
      <c r="H20" s="224"/>
      <c r="I20" s="224"/>
      <c r="J20" s="224"/>
      <c r="K20" s="224"/>
      <c r="L20" s="224"/>
      <c r="M20" s="224"/>
      <c r="N20" s="224"/>
    </row>
    <row r="21" spans="1:14" x14ac:dyDescent="0.25">
      <c r="A21" s="224" t="s">
        <v>85</v>
      </c>
      <c r="B21" s="224"/>
      <c r="C21" s="224"/>
      <c r="D21" s="224"/>
      <c r="E21" s="224"/>
      <c r="F21" s="224"/>
      <c r="G21" s="224"/>
      <c r="H21" s="224"/>
      <c r="I21" s="224"/>
      <c r="J21" s="224"/>
      <c r="K21" s="224"/>
      <c r="L21" s="224"/>
      <c r="M21" s="224"/>
      <c r="N21" s="224"/>
    </row>
    <row r="22" spans="1:14" ht="33" customHeight="1" x14ac:dyDescent="0.25">
      <c r="A22" s="1071" t="s">
        <v>86</v>
      </c>
      <c r="B22" s="1071"/>
      <c r="C22" s="1071"/>
      <c r="D22" s="224"/>
      <c r="E22" s="224"/>
      <c r="F22" s="224"/>
      <c r="G22" s="224"/>
      <c r="H22" s="224"/>
      <c r="I22" s="224"/>
      <c r="J22" s="224"/>
      <c r="K22" s="224"/>
      <c r="L22" s="224"/>
      <c r="M22" s="224"/>
      <c r="N22" s="224"/>
    </row>
    <row r="23" spans="1:14" x14ac:dyDescent="0.25">
      <c r="L23" s="224"/>
    </row>
    <row r="24" spans="1:14" x14ac:dyDescent="0.25">
      <c r="C24" s="612"/>
      <c r="D24" s="612"/>
      <c r="E24" s="612"/>
    </row>
    <row r="25" spans="1:14" x14ac:dyDescent="0.25">
      <c r="C25" s="612"/>
      <c r="D25" s="612"/>
      <c r="E25" s="614"/>
    </row>
    <row r="26" spans="1:14" x14ac:dyDescent="0.25">
      <c r="C26" s="612"/>
      <c r="D26" s="612"/>
      <c r="E26" s="612"/>
    </row>
    <row r="27" spans="1:14" x14ac:dyDescent="0.25">
      <c r="C27" s="612"/>
      <c r="D27" s="612"/>
      <c r="E27" s="612"/>
    </row>
    <row r="28" spans="1:14" x14ac:dyDescent="0.25">
      <c r="C28" s="612"/>
      <c r="D28" s="612"/>
      <c r="E28" s="612"/>
    </row>
    <row r="29" spans="1:14" x14ac:dyDescent="0.25">
      <c r="C29" s="612"/>
      <c r="D29" s="612"/>
      <c r="E29" s="612"/>
    </row>
    <row r="30" spans="1:14" x14ac:dyDescent="0.25">
      <c r="C30" s="612"/>
      <c r="D30" s="612"/>
      <c r="E30" s="612"/>
    </row>
    <row r="31" spans="1:14" x14ac:dyDescent="0.25">
      <c r="C31" s="612"/>
      <c r="D31" s="612"/>
      <c r="E31" s="612"/>
    </row>
    <row r="32" spans="1:14" x14ac:dyDescent="0.25">
      <c r="C32" s="612"/>
      <c r="D32" s="612"/>
      <c r="E32" s="612"/>
    </row>
    <row r="33" spans="2:14" x14ac:dyDescent="0.25">
      <c r="B33" s="613"/>
      <c r="C33" s="612"/>
      <c r="D33" s="612"/>
      <c r="E33" s="612"/>
      <c r="F33" s="620"/>
      <c r="G33" s="620"/>
      <c r="H33" s="620"/>
      <c r="I33" s="620"/>
      <c r="J33" s="620"/>
      <c r="K33" s="620"/>
      <c r="L33" s="620"/>
      <c r="M33" s="620"/>
    </row>
    <row r="34" spans="2:14" x14ac:dyDescent="0.25">
      <c r="C34" s="612"/>
      <c r="D34" s="612"/>
      <c r="E34" s="619"/>
      <c r="F34" s="620"/>
      <c r="G34" s="620"/>
      <c r="H34" s="620"/>
      <c r="I34" s="620"/>
      <c r="J34" s="620"/>
      <c r="K34" s="620"/>
      <c r="L34" s="620"/>
      <c r="M34" s="620"/>
      <c r="N34" s="620"/>
    </row>
    <row r="35" spans="2:14" x14ac:dyDescent="0.25">
      <c r="C35" s="612"/>
      <c r="D35" s="612"/>
      <c r="E35" s="614"/>
      <c r="F35" s="615"/>
      <c r="H35" s="830"/>
    </row>
    <row r="36" spans="2:14" ht="20.25" x14ac:dyDescent="0.3">
      <c r="D36" s="612"/>
      <c r="G36" s="829"/>
    </row>
    <row r="37" spans="2:14" x14ac:dyDescent="0.25">
      <c r="B37" s="827"/>
      <c r="C37" s="828"/>
      <c r="D37" s="612"/>
      <c r="E37" s="612"/>
      <c r="F37" s="612"/>
      <c r="G37" s="612"/>
      <c r="H37" s="612"/>
      <c r="I37" s="612"/>
      <c r="J37" s="612"/>
      <c r="K37" s="612"/>
      <c r="L37" s="612"/>
    </row>
    <row r="38" spans="2:14" x14ac:dyDescent="0.25">
      <c r="C38" s="886"/>
      <c r="D38" s="887"/>
      <c r="E38" s="887"/>
      <c r="F38" s="887"/>
      <c r="G38" s="887"/>
      <c r="H38" s="887"/>
      <c r="I38" s="887"/>
      <c r="J38" s="887"/>
      <c r="K38" s="887"/>
      <c r="L38" s="887"/>
    </row>
    <row r="39" spans="2:14" x14ac:dyDescent="0.25">
      <c r="C39" s="886"/>
      <c r="D39" s="886"/>
      <c r="E39" s="886"/>
      <c r="F39" s="886"/>
      <c r="G39" s="886"/>
      <c r="H39" s="886"/>
      <c r="I39" s="886"/>
      <c r="J39" s="886"/>
      <c r="K39" s="886"/>
      <c r="L39" s="886"/>
    </row>
    <row r="40" spans="2:14" x14ac:dyDescent="0.25">
      <c r="C40" s="886"/>
      <c r="D40" s="888"/>
      <c r="E40" s="888"/>
      <c r="F40" s="888"/>
      <c r="G40" s="888"/>
      <c r="H40" s="888"/>
      <c r="I40" s="888"/>
      <c r="J40" s="888"/>
      <c r="K40" s="888"/>
      <c r="L40" s="886"/>
      <c r="M40" s="834"/>
      <c r="N40" s="614"/>
    </row>
    <row r="41" spans="2:14" x14ac:dyDescent="0.25">
      <c r="C41" s="886"/>
      <c r="D41" s="886"/>
      <c r="E41" s="886"/>
      <c r="F41" s="886"/>
      <c r="G41" s="886"/>
      <c r="H41" s="886"/>
      <c r="I41" s="886"/>
      <c r="J41" s="886"/>
      <c r="K41" s="886"/>
      <c r="L41" s="886"/>
    </row>
    <row r="42" spans="2:14" x14ac:dyDescent="0.25">
      <c r="C42" s="886"/>
      <c r="D42" s="889"/>
      <c r="E42" s="889"/>
      <c r="F42" s="889"/>
      <c r="G42" s="889"/>
      <c r="H42" s="889"/>
      <c r="I42" s="889"/>
      <c r="J42" s="889"/>
      <c r="K42" s="889"/>
      <c r="L42" s="890"/>
      <c r="M42" s="612"/>
    </row>
    <row r="44" spans="2:14" ht="132" customHeight="1" x14ac:dyDescent="0.25">
      <c r="E44" s="1066"/>
      <c r="I44" s="1067"/>
      <c r="J44" s="1072"/>
    </row>
    <row r="45" spans="2:14" x14ac:dyDescent="0.25">
      <c r="D45" s="612"/>
      <c r="E45" s="1066"/>
      <c r="G45" s="612"/>
      <c r="I45" s="1067"/>
      <c r="J45" s="1072"/>
    </row>
    <row r="46" spans="2:14" x14ac:dyDescent="0.25">
      <c r="D46" s="612"/>
      <c r="E46" s="1066"/>
      <c r="G46" s="612"/>
      <c r="J46" s="1072"/>
    </row>
    <row r="47" spans="2:14" x14ac:dyDescent="0.25">
      <c r="D47" s="612"/>
      <c r="E47" s="1066"/>
      <c r="G47" s="612"/>
      <c r="J47" s="1072"/>
    </row>
    <row r="48" spans="2:14" x14ac:dyDescent="0.25">
      <c r="D48" s="612"/>
      <c r="E48" s="1066"/>
      <c r="G48" s="612"/>
      <c r="J48" s="1072"/>
    </row>
    <row r="49" spans="3:17" x14ac:dyDescent="0.25">
      <c r="J49" s="1072"/>
    </row>
    <row r="50" spans="3:17" x14ac:dyDescent="0.25">
      <c r="J50" s="1072"/>
    </row>
    <row r="51" spans="3:17" x14ac:dyDescent="0.25">
      <c r="C51" s="85"/>
      <c r="D51" s="85"/>
      <c r="E51" s="85"/>
      <c r="F51" s="85"/>
      <c r="G51" s="85"/>
      <c r="H51" s="85"/>
      <c r="I51" s="85"/>
      <c r="J51" s="1072"/>
      <c r="K51" s="85"/>
      <c r="L51" s="85"/>
      <c r="M51" s="85"/>
      <c r="N51" s="85"/>
      <c r="O51" s="85"/>
      <c r="P51" s="85"/>
      <c r="Q51" s="85"/>
    </row>
    <row r="52" spans="3:17" x14ac:dyDescent="0.25">
      <c r="C52" s="85"/>
      <c r="D52" s="85"/>
      <c r="E52" s="85"/>
      <c r="F52" s="85"/>
      <c r="G52" s="85"/>
      <c r="H52" s="85"/>
      <c r="I52" s="85"/>
      <c r="J52" s="1072"/>
      <c r="K52" s="85"/>
      <c r="L52" s="85"/>
      <c r="M52" s="85"/>
      <c r="N52" s="85"/>
      <c r="O52" s="85"/>
      <c r="P52" s="85"/>
      <c r="Q52" s="85"/>
    </row>
    <row r="53" spans="3:17" x14ac:dyDescent="0.25">
      <c r="C53" s="85"/>
      <c r="D53" s="876"/>
      <c r="E53" s="876"/>
      <c r="F53" s="876"/>
      <c r="G53" s="85"/>
      <c r="H53" s="85"/>
      <c r="I53" s="85"/>
      <c r="J53" s="1072"/>
      <c r="K53" s="85"/>
      <c r="L53" s="85"/>
      <c r="M53" s="85"/>
      <c r="N53" s="85"/>
      <c r="O53" s="85"/>
      <c r="P53" s="85"/>
      <c r="Q53" s="85"/>
    </row>
    <row r="54" spans="3:17" x14ac:dyDescent="0.25">
      <c r="C54" s="85"/>
      <c r="D54" s="876"/>
      <c r="E54" s="876"/>
      <c r="F54" s="876"/>
      <c r="G54" s="85"/>
      <c r="H54" s="85"/>
      <c r="I54" s="85"/>
      <c r="J54" s="1072"/>
      <c r="K54" s="85"/>
      <c r="L54" s="85"/>
      <c r="M54" s="85"/>
      <c r="N54" s="85"/>
      <c r="O54" s="85"/>
      <c r="P54" s="85"/>
      <c r="Q54" s="85"/>
    </row>
    <row r="55" spans="3:17" x14ac:dyDescent="0.25">
      <c r="C55" s="85"/>
      <c r="D55" s="876"/>
      <c r="E55" s="876"/>
      <c r="F55" s="876"/>
      <c r="G55" s="85"/>
      <c r="H55" s="85"/>
      <c r="I55" s="85"/>
      <c r="J55" s="85"/>
      <c r="K55" s="85"/>
      <c r="L55" s="85"/>
      <c r="M55" s="85"/>
      <c r="N55" s="85"/>
      <c r="O55" s="85"/>
      <c r="P55" s="85"/>
      <c r="Q55" s="85"/>
    </row>
    <row r="56" spans="3:17" x14ac:dyDescent="0.25">
      <c r="C56" s="85"/>
      <c r="D56" s="876"/>
      <c r="E56" s="876"/>
      <c r="F56" s="876"/>
      <c r="G56" s="830"/>
      <c r="H56" s="85"/>
      <c r="I56" s="85"/>
      <c r="J56" s="85"/>
      <c r="K56" s="85"/>
      <c r="L56" s="85"/>
      <c r="M56" s="85"/>
      <c r="N56" s="85"/>
      <c r="O56" s="85"/>
      <c r="P56" s="85"/>
      <c r="Q56" s="85"/>
    </row>
    <row r="57" spans="3:17" x14ac:dyDescent="0.25">
      <c r="C57" s="85"/>
      <c r="D57" s="876"/>
      <c r="E57" s="876"/>
      <c r="F57" s="876"/>
      <c r="G57" s="85"/>
      <c r="H57" s="85"/>
      <c r="I57" s="85"/>
      <c r="J57" s="85"/>
      <c r="K57" s="85"/>
      <c r="L57" s="85"/>
      <c r="M57" s="85"/>
      <c r="N57" s="85"/>
      <c r="O57" s="85"/>
      <c r="P57" s="85"/>
      <c r="Q57" s="85"/>
    </row>
    <row r="58" spans="3:17" x14ac:dyDescent="0.25">
      <c r="C58" s="85"/>
      <c r="D58" s="876"/>
      <c r="E58" s="876"/>
      <c r="F58" s="876"/>
      <c r="G58" s="85"/>
      <c r="H58" s="85"/>
      <c r="I58" s="85"/>
      <c r="J58" s="85"/>
      <c r="K58" s="85"/>
      <c r="L58" s="85"/>
      <c r="M58" s="85"/>
      <c r="N58" s="85"/>
      <c r="O58" s="85"/>
      <c r="P58" s="85"/>
      <c r="Q58" s="85"/>
    </row>
    <row r="59" spans="3:17" x14ac:dyDescent="0.25">
      <c r="C59" s="891"/>
      <c r="D59" s="892"/>
      <c r="E59" s="892"/>
      <c r="F59" s="892"/>
      <c r="G59" s="1068"/>
      <c r="H59" s="1068"/>
      <c r="I59" s="1068"/>
      <c r="J59" s="1068"/>
      <c r="K59" s="1068"/>
      <c r="L59" s="1068"/>
      <c r="M59" s="1068"/>
      <c r="N59" s="1068"/>
      <c r="O59" s="1068"/>
      <c r="P59" s="1068"/>
      <c r="Q59" s="1068"/>
    </row>
    <row r="60" spans="3:17" x14ac:dyDescent="0.25">
      <c r="C60" s="85"/>
      <c r="D60" s="876"/>
      <c r="E60" s="876"/>
      <c r="F60" s="876"/>
      <c r="G60" s="85"/>
      <c r="H60" s="85"/>
      <c r="I60" s="85"/>
      <c r="J60" s="85"/>
      <c r="K60" s="85"/>
      <c r="L60" s="85"/>
      <c r="M60" s="85"/>
      <c r="N60" s="85"/>
      <c r="O60" s="85"/>
      <c r="P60" s="85"/>
      <c r="Q60" s="85"/>
    </row>
    <row r="61" spans="3:17" x14ac:dyDescent="0.25">
      <c r="C61" s="85"/>
      <c r="D61" s="876"/>
      <c r="E61" s="876"/>
      <c r="F61" s="876"/>
      <c r="G61" s="85"/>
      <c r="H61" s="85"/>
      <c r="I61" s="85"/>
      <c r="J61" s="85"/>
      <c r="K61" s="85"/>
      <c r="L61" s="85"/>
      <c r="M61" s="85"/>
      <c r="N61" s="85"/>
      <c r="O61" s="85"/>
      <c r="P61" s="85"/>
      <c r="Q61" s="85"/>
    </row>
    <row r="63" spans="3:17" x14ac:dyDescent="0.25">
      <c r="E63" s="612"/>
    </row>
  </sheetData>
  <mergeCells count="15">
    <mergeCell ref="A1:N1"/>
    <mergeCell ref="A2:N2"/>
    <mergeCell ref="A3:A4"/>
    <mergeCell ref="B3:B4"/>
    <mergeCell ref="C3:D3"/>
    <mergeCell ref="E3:F3"/>
    <mergeCell ref="G3:H3"/>
    <mergeCell ref="I3:J3"/>
    <mergeCell ref="K3:L3"/>
    <mergeCell ref="E44:E48"/>
    <mergeCell ref="I44:I45"/>
    <mergeCell ref="G59:Q59"/>
    <mergeCell ref="M3:N3"/>
    <mergeCell ref="A22:C22"/>
    <mergeCell ref="J44:J54"/>
  </mergeCells>
  <pageMargins left="0.42" right="0.28999999999999998" top="0.74803149606299213" bottom="0.74803149606299213"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F26"/>
  <sheetViews>
    <sheetView workbookViewId="0">
      <selection activeCell="A2" sqref="A2:B2"/>
    </sheetView>
  </sheetViews>
  <sheetFormatPr defaultColWidth="62.140625" defaultRowHeight="12.75" x14ac:dyDescent="0.2"/>
  <cols>
    <col min="1" max="1" width="17.42578125" customWidth="1"/>
    <col min="2" max="2" width="40.140625" style="122"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32" customFormat="1" ht="48" customHeight="1" thickBot="1" x14ac:dyDescent="0.25">
      <c r="A1" s="904" t="s">
        <v>990</v>
      </c>
      <c r="B1" s="905"/>
      <c r="C1" s="906"/>
      <c r="D1" s="410"/>
    </row>
    <row r="2" spans="1:6" ht="63" x14ac:dyDescent="0.2">
      <c r="A2" s="902" t="s">
        <v>676</v>
      </c>
      <c r="B2" s="903"/>
      <c r="C2" s="470" t="s">
        <v>1174</v>
      </c>
      <c r="F2" s="473"/>
    </row>
    <row r="3" spans="1:6" ht="31.5" x14ac:dyDescent="0.2">
      <c r="A3" s="328" t="s">
        <v>281</v>
      </c>
      <c r="B3" s="267" t="s">
        <v>731</v>
      </c>
      <c r="C3" s="409" t="s">
        <v>372</v>
      </c>
      <c r="F3" s="473"/>
    </row>
    <row r="4" spans="1:6" ht="31.5" x14ac:dyDescent="0.2">
      <c r="A4" s="326" t="s">
        <v>181</v>
      </c>
      <c r="B4" s="267" t="s">
        <v>1133</v>
      </c>
      <c r="C4" s="409" t="s">
        <v>372</v>
      </c>
    </row>
    <row r="5" spans="1:6" ht="16.5" thickBot="1" x14ac:dyDescent="0.25">
      <c r="A5" s="328" t="s">
        <v>182</v>
      </c>
      <c r="B5" s="267" t="s">
        <v>732</v>
      </c>
      <c r="C5" s="409" t="s">
        <v>372</v>
      </c>
      <c r="D5" s="252"/>
      <c r="F5" s="473"/>
    </row>
    <row r="6" spans="1:6" ht="31.5" x14ac:dyDescent="0.2">
      <c r="A6" s="328" t="s">
        <v>183</v>
      </c>
      <c r="B6" s="267" t="s">
        <v>733</v>
      </c>
      <c r="C6" s="470" t="s">
        <v>1203</v>
      </c>
      <c r="D6" s="311"/>
    </row>
    <row r="7" spans="1:6" ht="15.75" x14ac:dyDescent="0.2">
      <c r="A7" s="508" t="s">
        <v>184</v>
      </c>
      <c r="B7" s="509" t="s">
        <v>734</v>
      </c>
      <c r="C7" s="518" t="s">
        <v>1120</v>
      </c>
      <c r="D7" s="252"/>
    </row>
    <row r="8" spans="1:6" ht="15.75" x14ac:dyDescent="0.2">
      <c r="A8" s="326" t="s">
        <v>185</v>
      </c>
      <c r="B8" s="267" t="s">
        <v>735</v>
      </c>
      <c r="C8" s="409" t="s">
        <v>372</v>
      </c>
    </row>
    <row r="9" spans="1:6" ht="15.75" x14ac:dyDescent="0.2">
      <c r="A9" s="326" t="s">
        <v>810</v>
      </c>
      <c r="B9" s="269" t="s">
        <v>811</v>
      </c>
      <c r="C9" s="409" t="s">
        <v>372</v>
      </c>
      <c r="E9" s="361"/>
    </row>
    <row r="10" spans="1:6" ht="15.75" x14ac:dyDescent="0.2">
      <c r="A10" s="253" t="s">
        <v>186</v>
      </c>
      <c r="B10" s="268" t="s">
        <v>677</v>
      </c>
      <c r="C10" s="409" t="s">
        <v>372</v>
      </c>
      <c r="E10" s="361"/>
    </row>
    <row r="11" spans="1:6" ht="15.75" x14ac:dyDescent="0.2">
      <c r="A11" s="326" t="s">
        <v>168</v>
      </c>
      <c r="B11" s="267" t="s">
        <v>336</v>
      </c>
      <c r="C11" s="409" t="s">
        <v>372</v>
      </c>
    </row>
    <row r="12" spans="1:6" ht="15.75" x14ac:dyDescent="0.2">
      <c r="A12" s="328" t="s">
        <v>0</v>
      </c>
      <c r="B12" s="267" t="s">
        <v>337</v>
      </c>
      <c r="C12" s="409" t="s">
        <v>372</v>
      </c>
    </row>
    <row r="13" spans="1:6" ht="15.75" x14ac:dyDescent="0.2">
      <c r="A13" s="253" t="s">
        <v>1</v>
      </c>
      <c r="B13" s="267" t="s">
        <v>338</v>
      </c>
      <c r="C13" s="409" t="s">
        <v>372</v>
      </c>
      <c r="F13" s="473"/>
    </row>
    <row r="14" spans="1:6" ht="31.5" x14ac:dyDescent="0.2">
      <c r="A14" s="328" t="s">
        <v>2</v>
      </c>
      <c r="B14" s="267" t="s">
        <v>339</v>
      </c>
      <c r="C14" s="518" t="s">
        <v>1122</v>
      </c>
      <c r="F14" s="473"/>
    </row>
    <row r="15" spans="1:6" ht="31.5" x14ac:dyDescent="0.2">
      <c r="A15" s="328" t="s">
        <v>3</v>
      </c>
      <c r="B15" s="267" t="s">
        <v>660</v>
      </c>
      <c r="C15" s="409" t="s">
        <v>372</v>
      </c>
    </row>
    <row r="16" spans="1:6" ht="34.5" customHeight="1" x14ac:dyDescent="0.2">
      <c r="A16" s="328" t="s">
        <v>4</v>
      </c>
      <c r="B16" s="267" t="s">
        <v>74</v>
      </c>
      <c r="C16" s="409" t="s">
        <v>372</v>
      </c>
    </row>
    <row r="17" spans="1:4" ht="15.75" x14ac:dyDescent="0.2">
      <c r="A17" s="328" t="s">
        <v>5</v>
      </c>
      <c r="B17" s="267" t="s">
        <v>75</v>
      </c>
      <c r="C17" s="518" t="s">
        <v>1170</v>
      </c>
    </row>
    <row r="18" spans="1:4" ht="15.75" x14ac:dyDescent="0.2">
      <c r="A18" s="328" t="s">
        <v>62</v>
      </c>
      <c r="B18" s="267" t="s">
        <v>76</v>
      </c>
      <c r="C18" s="518" t="s">
        <v>1170</v>
      </c>
    </row>
    <row r="19" spans="1:4" ht="31.5" x14ac:dyDescent="0.2">
      <c r="A19" s="328" t="s">
        <v>6</v>
      </c>
      <c r="B19" s="267" t="s">
        <v>77</v>
      </c>
      <c r="C19" s="409" t="s">
        <v>372</v>
      </c>
    </row>
    <row r="20" spans="1:4" ht="15.75" x14ac:dyDescent="0.2">
      <c r="A20" s="328" t="s">
        <v>7</v>
      </c>
      <c r="B20" s="267" t="s">
        <v>661</v>
      </c>
      <c r="C20" s="409" t="s">
        <v>372</v>
      </c>
    </row>
    <row r="21" spans="1:4" ht="15.75" x14ac:dyDescent="0.2">
      <c r="A21" s="328" t="s">
        <v>8</v>
      </c>
      <c r="B21" s="267" t="s">
        <v>662</v>
      </c>
      <c r="C21" s="409" t="s">
        <v>372</v>
      </c>
    </row>
    <row r="22" spans="1:4" ht="31.5" x14ac:dyDescent="0.2">
      <c r="A22" s="328" t="s">
        <v>9</v>
      </c>
      <c r="B22" s="267" t="s">
        <v>663</v>
      </c>
      <c r="C22" s="409" t="s">
        <v>372</v>
      </c>
      <c r="D22" s="197"/>
    </row>
    <row r="23" spans="1:4" ht="36.75" customHeight="1" x14ac:dyDescent="0.2">
      <c r="A23" s="328" t="s">
        <v>507</v>
      </c>
      <c r="B23" s="267" t="s">
        <v>1131</v>
      </c>
      <c r="C23" s="518" t="s">
        <v>1130</v>
      </c>
      <c r="D23" s="197"/>
    </row>
    <row r="24" spans="1:4" ht="39" customHeight="1" x14ac:dyDescent="0.2">
      <c r="A24" s="328" t="s">
        <v>508</v>
      </c>
      <c r="B24" s="267" t="s">
        <v>1132</v>
      </c>
      <c r="C24" s="518" t="s">
        <v>1130</v>
      </c>
      <c r="D24" s="197"/>
    </row>
    <row r="25" spans="1:4" x14ac:dyDescent="0.2">
      <c r="D25" s="197"/>
    </row>
    <row r="26" spans="1:4" x14ac:dyDescent="0.2">
      <c r="D26" s="197"/>
    </row>
  </sheetData>
  <mergeCells count="2">
    <mergeCell ref="A2:B2"/>
    <mergeCell ref="A1:C1"/>
  </mergeCells>
  <phoneticPr fontId="8"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24"/>
  <sheetViews>
    <sheetView tabSelected="1" zoomScaleNormal="100" workbookViewId="0">
      <pane xSplit="2" ySplit="4" topLeftCell="C21" activePane="bottomRight" state="frozen"/>
      <selection pane="topRight" activeCell="C1" sqref="C1"/>
      <selection pane="bottomLeft" activeCell="A5" sqref="A5"/>
      <selection pane="bottomRight" activeCell="F29" sqref="F29"/>
    </sheetView>
  </sheetViews>
  <sheetFormatPr defaultColWidth="9.140625" defaultRowHeight="15.75" x14ac:dyDescent="0.2"/>
  <cols>
    <col min="1" max="1" width="10.5703125" style="12" customWidth="1"/>
    <col min="2" max="2" width="43.140625" style="65" customWidth="1"/>
    <col min="3" max="3" width="28.42578125" style="11" customWidth="1"/>
    <col min="4" max="4" width="46.5703125" style="11" customWidth="1"/>
    <col min="5" max="5" width="9.140625" style="11"/>
    <col min="6" max="6" width="13.85546875" style="11" bestFit="1" customWidth="1"/>
    <col min="7" max="16384" width="9.140625" style="11"/>
  </cols>
  <sheetData>
    <row r="1" spans="1:8" ht="50.1" customHeight="1" thickBot="1" x14ac:dyDescent="0.25">
      <c r="A1" s="947" t="s">
        <v>1011</v>
      </c>
      <c r="B1" s="948"/>
      <c r="C1" s="948"/>
      <c r="D1" s="949"/>
      <c r="E1" s="558"/>
    </row>
    <row r="2" spans="1:8" ht="35.1" customHeight="1" x14ac:dyDescent="0.2">
      <c r="A2" s="916" t="s">
        <v>370</v>
      </c>
      <c r="B2" s="917"/>
      <c r="C2" s="917"/>
      <c r="D2" s="918"/>
    </row>
    <row r="3" spans="1:8" ht="31.5" x14ac:dyDescent="0.2">
      <c r="A3" s="104" t="s">
        <v>180</v>
      </c>
      <c r="B3" s="92" t="s">
        <v>267</v>
      </c>
      <c r="C3" s="92" t="s">
        <v>1012</v>
      </c>
      <c r="D3" s="33" t="s">
        <v>1171</v>
      </c>
    </row>
    <row r="4" spans="1:8" s="13" customFormat="1" ht="18" customHeight="1" x14ac:dyDescent="0.2">
      <c r="A4" s="100"/>
      <c r="B4" s="103" t="s">
        <v>257</v>
      </c>
      <c r="C4" s="83" t="s">
        <v>258</v>
      </c>
      <c r="D4" s="84" t="s">
        <v>259</v>
      </c>
      <c r="F4" s="11"/>
      <c r="G4" s="11"/>
      <c r="H4" s="11"/>
    </row>
    <row r="5" spans="1:8" s="13" customFormat="1" ht="31.5" x14ac:dyDescent="0.2">
      <c r="A5" s="100">
        <v>1</v>
      </c>
      <c r="B5" s="63" t="s">
        <v>1156</v>
      </c>
      <c r="C5" s="559">
        <f>C6+C7+C11+C13+C14+C17+C18+C20+C21</f>
        <v>39681790.100000001</v>
      </c>
      <c r="D5" s="62"/>
      <c r="F5" s="11"/>
      <c r="G5" s="11"/>
      <c r="H5" s="11"/>
    </row>
    <row r="6" spans="1:8" ht="48" customHeight="1" x14ac:dyDescent="0.2">
      <c r="A6" s="100">
        <v>2</v>
      </c>
      <c r="B6" s="529" t="s">
        <v>1147</v>
      </c>
      <c r="C6" s="584">
        <v>15725996.01</v>
      </c>
      <c r="D6" s="588" t="s">
        <v>1226</v>
      </c>
      <c r="F6" s="586"/>
    </row>
    <row r="7" spans="1:8" ht="31.5" x14ac:dyDescent="0.2">
      <c r="A7" s="100">
        <v>3</v>
      </c>
      <c r="B7" s="121" t="s">
        <v>1155</v>
      </c>
      <c r="C7" s="559">
        <f>C8+C9+C10</f>
        <v>5940008.0899999999</v>
      </c>
      <c r="D7" s="135"/>
    </row>
    <row r="8" spans="1:8" ht="22.5" x14ac:dyDescent="0.2">
      <c r="A8" s="100">
        <v>4</v>
      </c>
      <c r="B8" s="531" t="s">
        <v>1139</v>
      </c>
      <c r="C8" s="584">
        <v>1432537.6</v>
      </c>
      <c r="D8" s="587" t="s">
        <v>1227</v>
      </c>
    </row>
    <row r="9" spans="1:8" x14ac:dyDescent="0.2">
      <c r="A9" s="100">
        <v>5</v>
      </c>
      <c r="B9" s="531" t="s">
        <v>1140</v>
      </c>
      <c r="C9" s="584">
        <v>168010.56</v>
      </c>
      <c r="D9" s="587" t="s">
        <v>1228</v>
      </c>
    </row>
    <row r="10" spans="1:8" ht="317.45" customHeight="1" x14ac:dyDescent="0.2">
      <c r="A10" s="100">
        <v>6</v>
      </c>
      <c r="B10" s="531" t="s">
        <v>1141</v>
      </c>
      <c r="C10" s="584">
        <v>4339459.93</v>
      </c>
      <c r="D10" s="590" t="s">
        <v>1230</v>
      </c>
    </row>
    <row r="11" spans="1:8" x14ac:dyDescent="0.2">
      <c r="A11" s="100">
        <v>7</v>
      </c>
      <c r="B11" s="121" t="s">
        <v>1148</v>
      </c>
      <c r="C11" s="584">
        <v>1899.7</v>
      </c>
      <c r="D11" s="587" t="s">
        <v>1229</v>
      </c>
    </row>
    <row r="12" spans="1:8" x14ac:dyDescent="0.2">
      <c r="A12" s="100">
        <v>8</v>
      </c>
      <c r="B12" s="530" t="s">
        <v>1142</v>
      </c>
      <c r="C12" s="584"/>
      <c r="D12" s="587"/>
    </row>
    <row r="13" spans="1:8" ht="22.5" x14ac:dyDescent="0.2">
      <c r="A13" s="100">
        <v>9</v>
      </c>
      <c r="B13" s="530" t="s">
        <v>1143</v>
      </c>
      <c r="C13" s="584">
        <v>3889294.61</v>
      </c>
      <c r="D13" s="587" t="s">
        <v>1231</v>
      </c>
    </row>
    <row r="14" spans="1:8" x14ac:dyDescent="0.2">
      <c r="A14" s="100">
        <v>10</v>
      </c>
      <c r="B14" s="530" t="s">
        <v>1144</v>
      </c>
      <c r="C14" s="584">
        <v>66758.31</v>
      </c>
      <c r="D14" s="587" t="s">
        <v>1297</v>
      </c>
    </row>
    <row r="15" spans="1:8" ht="31.5" x14ac:dyDescent="0.2">
      <c r="A15" s="100">
        <v>11</v>
      </c>
      <c r="B15" s="530" t="s">
        <v>1145</v>
      </c>
      <c r="C15" s="584"/>
      <c r="D15" s="587"/>
    </row>
    <row r="16" spans="1:8" x14ac:dyDescent="0.2">
      <c r="A16" s="100">
        <v>12</v>
      </c>
      <c r="B16" s="530" t="s">
        <v>1146</v>
      </c>
      <c r="C16" s="584"/>
      <c r="D16" s="587"/>
    </row>
    <row r="17" spans="1:6" ht="45" x14ac:dyDescent="0.2">
      <c r="A17" s="100">
        <v>13</v>
      </c>
      <c r="B17" s="530" t="s">
        <v>1149</v>
      </c>
      <c r="C17" s="584">
        <v>196279.12</v>
      </c>
      <c r="D17" s="587" t="s">
        <v>1232</v>
      </c>
    </row>
    <row r="18" spans="1:6" ht="56.25" x14ac:dyDescent="0.2">
      <c r="A18" s="100">
        <v>14</v>
      </c>
      <c r="B18" s="121" t="s">
        <v>1150</v>
      </c>
      <c r="C18" s="584">
        <v>4690814.01</v>
      </c>
      <c r="D18" s="587" t="s">
        <v>1233</v>
      </c>
    </row>
    <row r="19" spans="1:6" x14ac:dyDescent="0.2">
      <c r="A19" s="100">
        <v>15</v>
      </c>
      <c r="B19" s="389" t="s">
        <v>1151</v>
      </c>
      <c r="C19" s="584"/>
      <c r="D19" s="587"/>
    </row>
    <row r="20" spans="1:6" ht="22.5" x14ac:dyDescent="0.2">
      <c r="A20" s="100">
        <v>16</v>
      </c>
      <c r="B20" s="121" t="s">
        <v>1152</v>
      </c>
      <c r="C20" s="584">
        <v>176625.86</v>
      </c>
      <c r="D20" s="587" t="s">
        <v>1234</v>
      </c>
    </row>
    <row r="21" spans="1:6" ht="101.25" x14ac:dyDescent="0.2">
      <c r="A21" s="100">
        <v>17</v>
      </c>
      <c r="B21" s="121" t="s">
        <v>1154</v>
      </c>
      <c r="C21" s="585">
        <v>8994114.3900000006</v>
      </c>
      <c r="D21" s="589" t="s">
        <v>1235</v>
      </c>
    </row>
    <row r="22" spans="1:6" x14ac:dyDescent="0.2">
      <c r="A22" s="528">
        <v>18</v>
      </c>
      <c r="B22" s="539" t="s">
        <v>1153</v>
      </c>
      <c r="C22" s="585">
        <v>2500</v>
      </c>
      <c r="D22" s="589" t="s">
        <v>1236</v>
      </c>
    </row>
    <row r="23" spans="1:6" x14ac:dyDescent="0.2">
      <c r="A23" s="528">
        <v>19</v>
      </c>
      <c r="B23" s="105" t="s">
        <v>693</v>
      </c>
      <c r="C23" s="585">
        <v>830.45</v>
      </c>
      <c r="D23" s="589" t="s">
        <v>1237</v>
      </c>
    </row>
    <row r="24" spans="1:6" ht="32.25" thickBot="1" x14ac:dyDescent="0.25">
      <c r="A24" s="101">
        <v>20</v>
      </c>
      <c r="B24" s="75" t="s">
        <v>1157</v>
      </c>
      <c r="C24" s="388">
        <f>+C5+C22+C23</f>
        <v>39685120.550000004</v>
      </c>
      <c r="D24" s="72"/>
      <c r="F24" s="586"/>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4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54"/>
  <sheetViews>
    <sheetView zoomScaleNormal="100" workbookViewId="0">
      <pane xSplit="2" ySplit="5" topLeftCell="C28" activePane="bottomRight" state="frozen"/>
      <selection pane="topRight" activeCell="C1" sqref="C1"/>
      <selection pane="bottomLeft" activeCell="A6" sqref="A6"/>
      <selection pane="bottomRight" activeCell="I1" sqref="I1"/>
    </sheetView>
  </sheetViews>
  <sheetFormatPr defaultColWidth="9.140625"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9" width="11.28515625" style="21" customWidth="1"/>
    <col min="10" max="16384" width="9.140625" style="21"/>
  </cols>
  <sheetData>
    <row r="1" spans="1:11" s="25" customFormat="1" ht="69" customHeight="1" thickBot="1" x14ac:dyDescent="0.25">
      <c r="A1" s="1090" t="s">
        <v>1013</v>
      </c>
      <c r="B1" s="1091"/>
      <c r="C1" s="1091"/>
      <c r="D1" s="1091"/>
      <c r="E1" s="1091"/>
      <c r="F1" s="1091"/>
      <c r="G1" s="1091"/>
      <c r="H1" s="1092"/>
      <c r="I1" s="255"/>
    </row>
    <row r="2" spans="1:11" s="25" customFormat="1" ht="35.1" customHeight="1" x14ac:dyDescent="0.2">
      <c r="A2" s="954" t="s">
        <v>366</v>
      </c>
      <c r="B2" s="955"/>
      <c r="C2" s="955"/>
      <c r="D2" s="955"/>
      <c r="E2" s="955"/>
      <c r="F2" s="955"/>
      <c r="G2" s="955"/>
      <c r="H2" s="956"/>
    </row>
    <row r="3" spans="1:11" ht="27" customHeight="1" x14ac:dyDescent="0.2">
      <c r="A3" s="1018" t="s">
        <v>180</v>
      </c>
      <c r="B3" s="943" t="s">
        <v>299</v>
      </c>
      <c r="C3" s="960" t="s">
        <v>275</v>
      </c>
      <c r="D3" s="960"/>
      <c r="E3" s="960" t="s">
        <v>276</v>
      </c>
      <c r="F3" s="960"/>
      <c r="G3" s="1093" t="s">
        <v>202</v>
      </c>
      <c r="H3" s="1094"/>
    </row>
    <row r="4" spans="1:11" ht="33" customHeight="1" x14ac:dyDescent="0.2">
      <c r="A4" s="941"/>
      <c r="B4" s="970"/>
      <c r="C4" s="547" t="s">
        <v>67</v>
      </c>
      <c r="D4" s="547" t="s">
        <v>170</v>
      </c>
      <c r="E4" s="547" t="s">
        <v>67</v>
      </c>
      <c r="F4" s="547" t="s">
        <v>170</v>
      </c>
      <c r="G4" s="547" t="s">
        <v>67</v>
      </c>
      <c r="H4" s="549" t="s">
        <v>170</v>
      </c>
    </row>
    <row r="5" spans="1:11" ht="21.6" customHeight="1" x14ac:dyDescent="0.2">
      <c r="A5" s="546"/>
      <c r="B5" s="548"/>
      <c r="C5" s="42" t="s">
        <v>257</v>
      </c>
      <c r="D5" s="42" t="s">
        <v>258</v>
      </c>
      <c r="E5" s="42" t="s">
        <v>259</v>
      </c>
      <c r="F5" s="42" t="s">
        <v>266</v>
      </c>
      <c r="G5" s="42" t="s">
        <v>32</v>
      </c>
      <c r="H5" s="256" t="s">
        <v>33</v>
      </c>
    </row>
    <row r="6" spans="1:11" ht="18" customHeight="1" x14ac:dyDescent="0.2">
      <c r="A6" s="257">
        <v>1</v>
      </c>
      <c r="B6" s="503" t="s">
        <v>1014</v>
      </c>
      <c r="C6" s="207">
        <f>C7</f>
        <v>0</v>
      </c>
      <c r="D6" s="207">
        <f>D8</f>
        <v>0</v>
      </c>
      <c r="E6" s="207">
        <f>E7</f>
        <v>0</v>
      </c>
      <c r="F6" s="207">
        <f>F8</f>
        <v>0</v>
      </c>
      <c r="G6" s="207">
        <f>C6+E6</f>
        <v>0</v>
      </c>
      <c r="H6" s="258">
        <f>D6+F6</f>
        <v>0</v>
      </c>
      <c r="K6" s="437"/>
    </row>
    <row r="7" spans="1:11" ht="18" customHeight="1" x14ac:dyDescent="0.2">
      <c r="A7" s="257">
        <v>2</v>
      </c>
      <c r="B7" s="504" t="s">
        <v>1176</v>
      </c>
      <c r="C7" s="208"/>
      <c r="D7" s="284" t="s">
        <v>754</v>
      </c>
      <c r="E7" s="208"/>
      <c r="F7" s="284" t="s">
        <v>754</v>
      </c>
      <c r="G7" s="535">
        <f t="shared" ref="G7" si="0">C7+E7</f>
        <v>0</v>
      </c>
      <c r="H7" s="536" t="s">
        <v>754</v>
      </c>
      <c r="K7" s="437"/>
    </row>
    <row r="8" spans="1:11" ht="18" customHeight="1" x14ac:dyDescent="0.2">
      <c r="A8" s="257">
        <f t="shared" ref="A8:A11" si="1">A7+1</f>
        <v>3</v>
      </c>
      <c r="B8" s="504" t="s">
        <v>1177</v>
      </c>
      <c r="C8" s="284" t="s">
        <v>754</v>
      </c>
      <c r="D8" s="208"/>
      <c r="E8" s="284" t="s">
        <v>754</v>
      </c>
      <c r="F8" s="208"/>
      <c r="G8" s="537" t="s">
        <v>754</v>
      </c>
      <c r="H8" s="538">
        <f t="shared" ref="H8:H11" si="2">D8+F8</f>
        <v>0</v>
      </c>
      <c r="I8" s="437"/>
      <c r="J8" s="437"/>
      <c r="K8" s="437"/>
    </row>
    <row r="9" spans="1:11" ht="18" customHeight="1" x14ac:dyDescent="0.2">
      <c r="A9" s="257">
        <f t="shared" si="1"/>
        <v>4</v>
      </c>
      <c r="B9" s="503" t="s">
        <v>1015</v>
      </c>
      <c r="C9" s="207">
        <f>SUM(C10:C11)</f>
        <v>0</v>
      </c>
      <c r="D9" s="207">
        <f>SUM(D10:D11)</f>
        <v>0</v>
      </c>
      <c r="E9" s="207">
        <f>SUM(E10:E11)</f>
        <v>0</v>
      </c>
      <c r="F9" s="207">
        <f>SUM(F10:F11)</f>
        <v>0</v>
      </c>
      <c r="G9" s="207">
        <f>C9+E9</f>
        <v>0</v>
      </c>
      <c r="H9" s="258">
        <f t="shared" si="2"/>
        <v>0</v>
      </c>
      <c r="I9" s="437"/>
      <c r="J9" s="437"/>
      <c r="K9" s="437"/>
    </row>
    <row r="10" spans="1:11" ht="18" customHeight="1" x14ac:dyDescent="0.2">
      <c r="A10" s="257">
        <f t="shared" si="1"/>
        <v>5</v>
      </c>
      <c r="B10" s="504" t="s">
        <v>1178</v>
      </c>
      <c r="C10" s="208"/>
      <c r="D10" s="284" t="s">
        <v>754</v>
      </c>
      <c r="E10" s="208"/>
      <c r="F10" s="284" t="s">
        <v>754</v>
      </c>
      <c r="G10" s="535">
        <f>C10+E10</f>
        <v>0</v>
      </c>
      <c r="H10" s="536" t="s">
        <v>754</v>
      </c>
      <c r="I10" s="437"/>
      <c r="J10" s="437"/>
      <c r="K10" s="437"/>
    </row>
    <row r="11" spans="1:11" ht="18" customHeight="1" x14ac:dyDescent="0.2">
      <c r="A11" s="257">
        <f t="shared" si="1"/>
        <v>6</v>
      </c>
      <c r="B11" s="504" t="s">
        <v>1179</v>
      </c>
      <c r="C11" s="284" t="s">
        <v>754</v>
      </c>
      <c r="D11" s="208"/>
      <c r="E11" s="284" t="s">
        <v>754</v>
      </c>
      <c r="F11" s="208"/>
      <c r="G11" s="537" t="s">
        <v>754</v>
      </c>
      <c r="H11" s="538">
        <f t="shared" si="2"/>
        <v>0</v>
      </c>
      <c r="I11" s="551"/>
      <c r="J11" s="437"/>
      <c r="K11" s="437"/>
    </row>
    <row r="12" spans="1:11" ht="18" customHeight="1" x14ac:dyDescent="0.2">
      <c r="A12" s="257">
        <v>7</v>
      </c>
      <c r="B12" s="503" t="s">
        <v>942</v>
      </c>
      <c r="C12" s="207">
        <f>SUM(C13:C14)</f>
        <v>38427.07</v>
      </c>
      <c r="D12" s="207">
        <f t="shared" ref="D12:F12" si="3">SUM(D13:D14)</f>
        <v>4131.0600000000004</v>
      </c>
      <c r="E12" s="207">
        <f t="shared" si="3"/>
        <v>28096.48</v>
      </c>
      <c r="F12" s="207">
        <f t="shared" si="3"/>
        <v>0</v>
      </c>
      <c r="G12" s="207">
        <f>C12+E12</f>
        <v>66523.55</v>
      </c>
      <c r="H12" s="258">
        <f>D12+F12</f>
        <v>4131.0600000000004</v>
      </c>
      <c r="I12" s="552"/>
      <c r="J12" s="437"/>
      <c r="K12" s="437"/>
    </row>
    <row r="13" spans="1:11" ht="18" customHeight="1" x14ac:dyDescent="0.2">
      <c r="A13" s="257">
        <v>8</v>
      </c>
      <c r="B13" s="504" t="s">
        <v>944</v>
      </c>
      <c r="C13" s="284">
        <v>38427.07</v>
      </c>
      <c r="D13" s="284" t="s">
        <v>754</v>
      </c>
      <c r="E13" s="284">
        <v>28096.48</v>
      </c>
      <c r="F13" s="284" t="s">
        <v>754</v>
      </c>
      <c r="G13" s="535">
        <f>C13+E13</f>
        <v>66523.55</v>
      </c>
      <c r="H13" s="536" t="s">
        <v>754</v>
      </c>
      <c r="I13" s="552"/>
      <c r="J13" s="437"/>
      <c r="K13" s="437"/>
    </row>
    <row r="14" spans="1:11" ht="18" customHeight="1" x14ac:dyDescent="0.2">
      <c r="A14" s="257">
        <v>9</v>
      </c>
      <c r="B14" s="504" t="s">
        <v>945</v>
      </c>
      <c r="C14" s="284" t="s">
        <v>754</v>
      </c>
      <c r="D14" s="208">
        <v>4131.0600000000004</v>
      </c>
      <c r="E14" s="284" t="s">
        <v>754</v>
      </c>
      <c r="F14" s="208"/>
      <c r="G14" s="537" t="s">
        <v>754</v>
      </c>
      <c r="H14" s="538">
        <f>D14+F14</f>
        <v>4131.0600000000004</v>
      </c>
      <c r="I14" s="552"/>
      <c r="J14" s="437"/>
      <c r="K14" s="437"/>
    </row>
    <row r="15" spans="1:11" ht="18" customHeight="1" x14ac:dyDescent="0.2">
      <c r="A15" s="257">
        <v>10</v>
      </c>
      <c r="B15" s="206" t="s">
        <v>943</v>
      </c>
      <c r="C15" s="207">
        <f>SUM(C16:C17)</f>
        <v>0</v>
      </c>
      <c r="D15" s="207">
        <f t="shared" ref="D15:F15" si="4">SUM(D16:D17)</f>
        <v>74298.41</v>
      </c>
      <c r="E15" s="207">
        <f t="shared" si="4"/>
        <v>0</v>
      </c>
      <c r="F15" s="207">
        <f t="shared" si="4"/>
        <v>0</v>
      </c>
      <c r="G15" s="207">
        <f>C15+E15</f>
        <v>0</v>
      </c>
      <c r="H15" s="258">
        <f>D15+F15</f>
        <v>74298.41</v>
      </c>
      <c r="I15" s="552"/>
      <c r="J15" s="437"/>
      <c r="K15" s="437"/>
    </row>
    <row r="16" spans="1:11" ht="18" customHeight="1" x14ac:dyDescent="0.2">
      <c r="A16" s="257">
        <v>11</v>
      </c>
      <c r="B16" s="210" t="s">
        <v>1180</v>
      </c>
      <c r="C16" s="284"/>
      <c r="D16" s="284" t="s">
        <v>754</v>
      </c>
      <c r="E16" s="284"/>
      <c r="F16" s="284" t="s">
        <v>754</v>
      </c>
      <c r="G16" s="535">
        <f>C16+E16</f>
        <v>0</v>
      </c>
      <c r="H16" s="536" t="s">
        <v>754</v>
      </c>
      <c r="I16" s="552"/>
      <c r="J16" s="437"/>
      <c r="K16" s="437"/>
    </row>
    <row r="17" spans="1:11" ht="18" customHeight="1" x14ac:dyDescent="0.2">
      <c r="A17" s="257">
        <v>12</v>
      </c>
      <c r="B17" s="210" t="s">
        <v>1181</v>
      </c>
      <c r="C17" s="284" t="s">
        <v>754</v>
      </c>
      <c r="D17" s="208">
        <v>74298.41</v>
      </c>
      <c r="E17" s="284" t="s">
        <v>754</v>
      </c>
      <c r="F17" s="208"/>
      <c r="G17" s="537" t="s">
        <v>754</v>
      </c>
      <c r="H17" s="538">
        <f>D17+F17</f>
        <v>74298.41</v>
      </c>
      <c r="I17" s="552"/>
      <c r="J17" s="437"/>
      <c r="K17" s="437"/>
    </row>
    <row r="18" spans="1:11" ht="44.25" customHeight="1" x14ac:dyDescent="0.2">
      <c r="A18" s="257">
        <v>13</v>
      </c>
      <c r="B18" s="503" t="s">
        <v>1207</v>
      </c>
      <c r="C18" s="207">
        <f>C6+C9+C12+C15</f>
        <v>38427.07</v>
      </c>
      <c r="D18" s="207">
        <f>D6+D9+D12+D15</f>
        <v>78429.47</v>
      </c>
      <c r="E18" s="207">
        <f>E6+E9+E12+E15</f>
        <v>28096.48</v>
      </c>
      <c r="F18" s="207">
        <f t="shared" ref="F18" si="5">F6+F9+F12+F15</f>
        <v>0</v>
      </c>
      <c r="G18" s="207">
        <f>C18+E18</f>
        <v>66523.55</v>
      </c>
      <c r="H18" s="207">
        <f>D18+F18</f>
        <v>78429.47</v>
      </c>
      <c r="I18" s="552"/>
      <c r="J18" s="437"/>
      <c r="K18" s="437"/>
    </row>
    <row r="19" spans="1:11" ht="45" customHeight="1" x14ac:dyDescent="0.2">
      <c r="A19" s="257">
        <v>14</v>
      </c>
      <c r="B19" s="503" t="s">
        <v>1206</v>
      </c>
      <c r="C19" s="207">
        <f>C20+C23+C26</f>
        <v>0</v>
      </c>
      <c r="D19" s="207">
        <f t="shared" ref="D19:F19" si="6">D20+D23+D26</f>
        <v>0</v>
      </c>
      <c r="E19" s="207">
        <f t="shared" si="6"/>
        <v>0</v>
      </c>
      <c r="F19" s="207">
        <f t="shared" si="6"/>
        <v>0</v>
      </c>
      <c r="G19" s="207">
        <f>C19+E19</f>
        <v>0</v>
      </c>
      <c r="H19" s="207">
        <f>D19+F19</f>
        <v>0</v>
      </c>
      <c r="I19" s="552"/>
      <c r="J19" s="437"/>
      <c r="K19" s="437"/>
    </row>
    <row r="20" spans="1:11" ht="18" customHeight="1" x14ac:dyDescent="0.2">
      <c r="A20" s="257">
        <v>15</v>
      </c>
      <c r="B20" s="206" t="s">
        <v>1175</v>
      </c>
      <c r="C20" s="207">
        <f>SUM(C21:C22)</f>
        <v>0</v>
      </c>
      <c r="D20" s="207">
        <f t="shared" ref="D20:F20" si="7">SUM(D21:D22)</f>
        <v>0</v>
      </c>
      <c r="E20" s="207">
        <f t="shared" si="7"/>
        <v>0</v>
      </c>
      <c r="F20" s="207">
        <f t="shared" si="7"/>
        <v>0</v>
      </c>
      <c r="G20" s="207">
        <f>SUM(G21:G22)</f>
        <v>0</v>
      </c>
      <c r="H20" s="258">
        <f t="shared" ref="H20" si="8">SUM(H21:H22)</f>
        <v>0</v>
      </c>
      <c r="I20" s="552"/>
      <c r="J20" s="437"/>
      <c r="K20" s="437"/>
    </row>
    <row r="21" spans="1:11" ht="18" customHeight="1" x14ac:dyDescent="0.2">
      <c r="A21" s="257">
        <v>16</v>
      </c>
      <c r="B21" s="210" t="s">
        <v>1182</v>
      </c>
      <c r="C21" s="209"/>
      <c r="D21" s="284" t="s">
        <v>754</v>
      </c>
      <c r="E21" s="209"/>
      <c r="F21" s="284" t="s">
        <v>754</v>
      </c>
      <c r="G21" s="535">
        <f t="shared" ref="G21:H28" si="9">C21+E21</f>
        <v>0</v>
      </c>
      <c r="H21" s="536" t="s">
        <v>754</v>
      </c>
      <c r="I21" s="438"/>
      <c r="J21" s="437"/>
      <c r="K21" s="437"/>
    </row>
    <row r="22" spans="1:11" ht="18" customHeight="1" x14ac:dyDescent="0.2">
      <c r="A22" s="257">
        <v>17</v>
      </c>
      <c r="B22" s="210" t="s">
        <v>1183</v>
      </c>
      <c r="C22" s="284" t="s">
        <v>754</v>
      </c>
      <c r="D22" s="209"/>
      <c r="E22" s="284" t="s">
        <v>754</v>
      </c>
      <c r="F22" s="209"/>
      <c r="G22" s="537" t="s">
        <v>754</v>
      </c>
      <c r="H22" s="538">
        <f t="shared" si="9"/>
        <v>0</v>
      </c>
      <c r="I22" s="438"/>
      <c r="J22" s="437"/>
      <c r="K22" s="437"/>
    </row>
    <row r="23" spans="1:11" ht="18" customHeight="1" x14ac:dyDescent="0.2">
      <c r="A23" s="257">
        <v>18</v>
      </c>
      <c r="B23" s="533" t="s">
        <v>1184</v>
      </c>
      <c r="C23" s="207">
        <f>SUM(C24:C25)</f>
        <v>0</v>
      </c>
      <c r="D23" s="207">
        <f t="shared" ref="D23:H23" si="10">SUM(D24:D25)</f>
        <v>0</v>
      </c>
      <c r="E23" s="207">
        <f t="shared" si="10"/>
        <v>0</v>
      </c>
      <c r="F23" s="207">
        <f t="shared" si="10"/>
        <v>0</v>
      </c>
      <c r="G23" s="207">
        <f t="shared" si="10"/>
        <v>0</v>
      </c>
      <c r="H23" s="258">
        <f t="shared" si="10"/>
        <v>0</v>
      </c>
      <c r="I23" s="437"/>
      <c r="J23" s="437"/>
      <c r="K23" s="437"/>
    </row>
    <row r="24" spans="1:11" ht="18" customHeight="1" x14ac:dyDescent="0.2">
      <c r="A24" s="439">
        <v>19</v>
      </c>
      <c r="B24" s="210" t="s">
        <v>1185</v>
      </c>
      <c r="C24" s="209"/>
      <c r="D24" s="284" t="s">
        <v>754</v>
      </c>
      <c r="E24" s="209"/>
      <c r="F24" s="284" t="s">
        <v>754</v>
      </c>
      <c r="G24" s="535"/>
      <c r="H24" s="536" t="s">
        <v>754</v>
      </c>
      <c r="I24" s="437"/>
      <c r="J24" s="437"/>
      <c r="K24" s="437"/>
    </row>
    <row r="25" spans="1:11" ht="18" customHeight="1" x14ac:dyDescent="0.2">
      <c r="A25" s="257">
        <v>20</v>
      </c>
      <c r="B25" s="210" t="s">
        <v>1186</v>
      </c>
      <c r="C25" s="284" t="s">
        <v>754</v>
      </c>
      <c r="D25" s="209"/>
      <c r="E25" s="284" t="s">
        <v>754</v>
      </c>
      <c r="F25" s="209"/>
      <c r="G25" s="537" t="s">
        <v>754</v>
      </c>
      <c r="H25" s="538">
        <f t="shared" si="9"/>
        <v>0</v>
      </c>
      <c r="I25" s="437"/>
      <c r="J25" s="437"/>
      <c r="K25" s="437"/>
    </row>
    <row r="26" spans="1:11" ht="18" customHeight="1" x14ac:dyDescent="0.2">
      <c r="A26" s="439">
        <v>21</v>
      </c>
      <c r="B26" s="533" t="s">
        <v>1187</v>
      </c>
      <c r="C26" s="207">
        <f>SUM(C28)</f>
        <v>0</v>
      </c>
      <c r="D26" s="207">
        <f t="shared" ref="D26:H26" si="11">SUM(D28)</f>
        <v>0</v>
      </c>
      <c r="E26" s="207">
        <f t="shared" si="11"/>
        <v>0</v>
      </c>
      <c r="F26" s="207">
        <f t="shared" si="11"/>
        <v>0</v>
      </c>
      <c r="G26" s="207">
        <f t="shared" si="11"/>
        <v>0</v>
      </c>
      <c r="H26" s="258">
        <f t="shared" si="11"/>
        <v>0</v>
      </c>
      <c r="I26" s="437"/>
      <c r="J26" s="437"/>
      <c r="K26" s="437"/>
    </row>
    <row r="27" spans="1:11" ht="18" customHeight="1" x14ac:dyDescent="0.2">
      <c r="A27" s="257">
        <v>22</v>
      </c>
      <c r="B27" s="210" t="s">
        <v>1188</v>
      </c>
      <c r="C27" s="209"/>
      <c r="D27" s="284" t="s">
        <v>754</v>
      </c>
      <c r="E27" s="209"/>
      <c r="F27" s="284" t="s">
        <v>754</v>
      </c>
      <c r="G27" s="535">
        <f t="shared" si="9"/>
        <v>0</v>
      </c>
      <c r="H27" s="536" t="s">
        <v>754</v>
      </c>
      <c r="I27" s="437"/>
      <c r="J27" s="437"/>
      <c r="K27" s="437"/>
    </row>
    <row r="28" spans="1:11" ht="18" customHeight="1" x14ac:dyDescent="0.2">
      <c r="A28" s="439">
        <v>23</v>
      </c>
      <c r="B28" s="553" t="s">
        <v>1189</v>
      </c>
      <c r="C28" s="284" t="s">
        <v>754</v>
      </c>
      <c r="D28" s="208"/>
      <c r="E28" s="284" t="s">
        <v>754</v>
      </c>
      <c r="F28" s="208"/>
      <c r="G28" s="537" t="s">
        <v>754</v>
      </c>
      <c r="H28" s="538">
        <f t="shared" si="9"/>
        <v>0</v>
      </c>
      <c r="I28" s="437"/>
      <c r="J28" s="437"/>
      <c r="K28" s="437"/>
    </row>
    <row r="29" spans="1:11" ht="18" customHeight="1" x14ac:dyDescent="0.2">
      <c r="A29" s="439" t="s">
        <v>1214</v>
      </c>
      <c r="B29" s="210"/>
      <c r="C29" s="550"/>
      <c r="D29" s="209"/>
      <c r="E29" s="550"/>
      <c r="F29" s="209"/>
      <c r="G29" s="209"/>
      <c r="H29" s="534"/>
      <c r="I29" s="437"/>
      <c r="J29" s="437"/>
      <c r="K29" s="437"/>
    </row>
    <row r="30" spans="1:11" ht="18" customHeight="1" x14ac:dyDescent="0.2">
      <c r="A30" s="439" t="s">
        <v>1215</v>
      </c>
      <c r="B30" s="210"/>
      <c r="C30" s="550"/>
      <c r="D30" s="209"/>
      <c r="E30" s="550"/>
      <c r="F30" s="209"/>
      <c r="G30" s="209"/>
      <c r="H30" s="534"/>
      <c r="I30" s="437"/>
      <c r="J30" s="437"/>
      <c r="K30" s="437"/>
    </row>
    <row r="31" spans="1:11" ht="18" customHeight="1" x14ac:dyDescent="0.2">
      <c r="A31" s="439"/>
      <c r="B31" s="210"/>
      <c r="C31" s="550"/>
      <c r="D31" s="209"/>
      <c r="E31" s="550"/>
      <c r="F31" s="209"/>
      <c r="G31" s="209"/>
      <c r="H31" s="534"/>
      <c r="I31" s="437"/>
      <c r="J31" s="437"/>
      <c r="K31" s="437"/>
    </row>
    <row r="32" spans="1:11" ht="18" customHeight="1" x14ac:dyDescent="0.2">
      <c r="A32" s="439"/>
      <c r="B32" s="210"/>
      <c r="C32" s="550"/>
      <c r="D32" s="209"/>
      <c r="E32" s="550"/>
      <c r="F32" s="209"/>
      <c r="G32" s="209"/>
      <c r="H32" s="534"/>
      <c r="I32" s="437"/>
      <c r="J32" s="437"/>
      <c r="K32" s="437"/>
    </row>
    <row r="33" spans="1:11" ht="18" customHeight="1" x14ac:dyDescent="0.2">
      <c r="A33" s="439"/>
      <c r="B33" s="210"/>
      <c r="C33" s="550"/>
      <c r="D33" s="209"/>
      <c r="E33" s="550"/>
      <c r="F33" s="209"/>
      <c r="G33" s="209"/>
      <c r="H33" s="534"/>
      <c r="I33" s="437"/>
      <c r="J33" s="437"/>
      <c r="K33" s="437"/>
    </row>
    <row r="34" spans="1:11" ht="18" customHeight="1" x14ac:dyDescent="0.2">
      <c r="A34" s="439"/>
      <c r="B34" s="210"/>
      <c r="C34" s="209"/>
      <c r="D34" s="209"/>
      <c r="E34" s="209"/>
      <c r="F34" s="209"/>
      <c r="G34" s="209"/>
      <c r="H34" s="534"/>
      <c r="I34" s="437"/>
      <c r="J34" s="437"/>
      <c r="K34" s="437"/>
    </row>
    <row r="35" spans="1:11" ht="18" customHeight="1" thickBot="1" x14ac:dyDescent="0.25">
      <c r="A35" s="259">
        <v>24</v>
      </c>
      <c r="B35" s="279" t="s">
        <v>1209</v>
      </c>
      <c r="C35" s="260">
        <f>C18+C19</f>
        <v>38427.07</v>
      </c>
      <c r="D35" s="260">
        <f t="shared" ref="D35:H35" si="12">D18+D19</f>
        <v>78429.47</v>
      </c>
      <c r="E35" s="260">
        <f t="shared" si="12"/>
        <v>28096.48</v>
      </c>
      <c r="F35" s="260">
        <f t="shared" si="12"/>
        <v>0</v>
      </c>
      <c r="G35" s="260">
        <f t="shared" si="12"/>
        <v>66523.55</v>
      </c>
      <c r="H35" s="260">
        <f t="shared" si="12"/>
        <v>78429.47</v>
      </c>
      <c r="I35" s="438"/>
      <c r="J35" s="437"/>
      <c r="K35" s="437"/>
    </row>
    <row r="36" spans="1:11" x14ac:dyDescent="0.2">
      <c r="H36" s="728"/>
      <c r="I36" s="438"/>
    </row>
    <row r="37" spans="1:11" x14ac:dyDescent="0.2">
      <c r="A37" s="494" t="s">
        <v>988</v>
      </c>
      <c r="B37" s="495" t="s">
        <v>1208</v>
      </c>
      <c r="C37" s="495"/>
      <c r="D37" s="495"/>
      <c r="H37" s="728"/>
      <c r="I37" s="438"/>
    </row>
    <row r="38" spans="1:11" x14ac:dyDescent="0.2">
      <c r="H38" s="728"/>
      <c r="I38" s="438"/>
    </row>
    <row r="39" spans="1:11" x14ac:dyDescent="0.2">
      <c r="C39" s="1085"/>
      <c r="D39" s="1086"/>
      <c r="E39" s="1086"/>
      <c r="F39" s="1086"/>
      <c r="G39" s="1086"/>
    </row>
    <row r="40" spans="1:11" x14ac:dyDescent="0.2">
      <c r="C40" s="1086"/>
      <c r="D40" s="1086"/>
      <c r="E40" s="1086"/>
      <c r="F40" s="1086"/>
      <c r="G40" s="1086"/>
    </row>
    <row r="41" spans="1:11" x14ac:dyDescent="0.2">
      <c r="C41" s="1086"/>
      <c r="D41" s="1086"/>
      <c r="E41" s="1086"/>
      <c r="F41" s="1086"/>
      <c r="G41" s="1086"/>
    </row>
    <row r="42" spans="1:11" x14ac:dyDescent="0.2">
      <c r="C42" s="1086"/>
      <c r="D42" s="1086"/>
      <c r="E42" s="1086"/>
      <c r="F42" s="1086"/>
      <c r="G42" s="1086"/>
    </row>
    <row r="43" spans="1:11" x14ac:dyDescent="0.2">
      <c r="C43" s="1086"/>
      <c r="D43" s="1086"/>
      <c r="E43" s="1086"/>
      <c r="F43" s="1086"/>
      <c r="G43" s="1086"/>
    </row>
    <row r="44" spans="1:11" ht="7.5" customHeight="1" x14ac:dyDescent="0.2">
      <c r="C44" s="1086"/>
      <c r="D44" s="1086"/>
      <c r="E44" s="1086"/>
      <c r="F44" s="1086"/>
      <c r="G44" s="1086"/>
    </row>
    <row r="45" spans="1:11" hidden="1" x14ac:dyDescent="0.2">
      <c r="C45" s="1086"/>
      <c r="D45" s="1086"/>
      <c r="E45" s="1086"/>
      <c r="F45" s="1086"/>
      <c r="G45" s="1086"/>
    </row>
    <row r="46" spans="1:11" hidden="1" x14ac:dyDescent="0.2">
      <c r="C46" s="1086"/>
      <c r="D46" s="1086"/>
      <c r="E46" s="1086"/>
      <c r="F46" s="1086"/>
      <c r="G46" s="1086"/>
    </row>
    <row r="47" spans="1:11" hidden="1" x14ac:dyDescent="0.2">
      <c r="C47" s="1086"/>
      <c r="D47" s="1086"/>
      <c r="E47" s="1086"/>
      <c r="F47" s="1086"/>
      <c r="G47" s="1086"/>
    </row>
    <row r="48" spans="1:11" ht="25.5" customHeight="1" x14ac:dyDescent="0.2">
      <c r="C48" s="1086"/>
      <c r="D48" s="1086"/>
      <c r="E48" s="1086"/>
      <c r="F48" s="1086"/>
      <c r="G48" s="1086"/>
    </row>
    <row r="49" spans="3:7" ht="33.75" customHeight="1" x14ac:dyDescent="0.2">
      <c r="C49" s="1087"/>
      <c r="D49" s="1087"/>
      <c r="E49" s="1087"/>
      <c r="F49" s="1087"/>
      <c r="G49" s="893"/>
    </row>
    <row r="50" spans="3:7" x14ac:dyDescent="0.2">
      <c r="C50" s="893"/>
      <c r="D50" s="893"/>
      <c r="E50" s="893"/>
      <c r="F50" s="893"/>
      <c r="G50" s="893"/>
    </row>
    <row r="51" spans="3:7" x14ac:dyDescent="0.2">
      <c r="C51" s="1088"/>
      <c r="D51" s="1089"/>
      <c r="E51" s="893"/>
      <c r="F51" s="893"/>
      <c r="G51" s="893"/>
    </row>
    <row r="52" spans="3:7" x14ac:dyDescent="0.2">
      <c r="C52" s="1088"/>
      <c r="D52" s="1089"/>
      <c r="E52" s="893"/>
      <c r="F52" s="893"/>
      <c r="G52" s="893"/>
    </row>
    <row r="53" spans="3:7" x14ac:dyDescent="0.2">
      <c r="C53" s="893"/>
      <c r="D53" s="893"/>
      <c r="E53" s="893"/>
      <c r="F53" s="893"/>
      <c r="G53" s="893"/>
    </row>
    <row r="54" spans="3:7" x14ac:dyDescent="0.2">
      <c r="C54" s="893"/>
      <c r="D54" s="893"/>
      <c r="E54" s="893"/>
      <c r="F54" s="893"/>
      <c r="G54" s="893"/>
    </row>
  </sheetData>
  <sheetProtection selectLockedCells="1"/>
  <mergeCells count="10">
    <mergeCell ref="C39:G48"/>
    <mergeCell ref="C49:F49"/>
    <mergeCell ref="C51:D52"/>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L24"/>
  <sheetViews>
    <sheetView zoomScaleNormal="100" workbookViewId="0">
      <pane xSplit="2" ySplit="4" topLeftCell="C15" activePane="bottomRight" state="frozen"/>
      <selection pane="topRight" activeCell="C1" sqref="C1"/>
      <selection pane="bottomLeft" activeCell="A5" sqref="A5"/>
      <selection pane="bottomRight" activeCell="C20" sqref="C20"/>
    </sheetView>
  </sheetViews>
  <sheetFormatPr defaultColWidth="9.140625"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6" width="9.140625" style="1"/>
    <col min="7" max="7" width="13.140625" style="1" bestFit="1" customWidth="1"/>
    <col min="8" max="9" width="9.140625" style="1"/>
    <col min="10" max="10" width="13.140625" style="1" bestFit="1" customWidth="1"/>
    <col min="11" max="11" width="9.140625" style="1"/>
    <col min="12" max="12" width="11.28515625" style="1" bestFit="1" customWidth="1"/>
    <col min="13" max="16384" width="9.140625" style="1"/>
  </cols>
  <sheetData>
    <row r="1" spans="1:12" ht="80.25" customHeight="1" thickBot="1" x14ac:dyDescent="0.3">
      <c r="A1" s="1095" t="s">
        <v>1016</v>
      </c>
      <c r="B1" s="1096"/>
      <c r="C1" s="1096"/>
      <c r="D1" s="1096"/>
      <c r="E1" s="1097"/>
      <c r="F1" s="7"/>
      <c r="G1" s="7"/>
    </row>
    <row r="2" spans="1:12" ht="35.1" customHeight="1" x14ac:dyDescent="0.25">
      <c r="A2" s="916" t="s">
        <v>366</v>
      </c>
      <c r="B2" s="917"/>
      <c r="C2" s="917"/>
      <c r="D2" s="917"/>
      <c r="E2" s="918"/>
      <c r="F2" s="7"/>
      <c r="G2" s="7"/>
    </row>
    <row r="3" spans="1:12" s="10" customFormat="1" ht="46.9" customHeight="1" x14ac:dyDescent="0.25">
      <c r="A3" s="321" t="s">
        <v>180</v>
      </c>
      <c r="B3" s="323" t="s">
        <v>299</v>
      </c>
      <c r="C3" s="323" t="s">
        <v>275</v>
      </c>
      <c r="D3" s="323" t="s">
        <v>276</v>
      </c>
      <c r="E3" s="324" t="s">
        <v>188</v>
      </c>
    </row>
    <row r="4" spans="1:12" s="10" customFormat="1" ht="16.5" customHeight="1" x14ac:dyDescent="0.25">
      <c r="A4" s="321"/>
      <c r="B4" s="323"/>
      <c r="C4" s="323" t="s">
        <v>257</v>
      </c>
      <c r="D4" s="323" t="s">
        <v>258</v>
      </c>
      <c r="E4" s="324" t="s">
        <v>29</v>
      </c>
    </row>
    <row r="5" spans="1:12" s="10" customFormat="1" ht="17.45" customHeight="1" x14ac:dyDescent="0.25">
      <c r="A5" s="321"/>
      <c r="B5" s="158" t="s">
        <v>340</v>
      </c>
      <c r="C5" s="61"/>
      <c r="D5" s="61"/>
      <c r="E5" s="125"/>
    </row>
    <row r="6" spans="1:12" s="10" customFormat="1" ht="17.45" customHeight="1" x14ac:dyDescent="0.25">
      <c r="A6" s="124">
        <v>1</v>
      </c>
      <c r="B6" s="102" t="s">
        <v>377</v>
      </c>
      <c r="C6" s="712">
        <f>SUM(C7:C10)</f>
        <v>5471680.9899999993</v>
      </c>
      <c r="D6" s="712">
        <f>SUM(D7:D10)</f>
        <v>0</v>
      </c>
      <c r="E6" s="713">
        <f>C6+D6</f>
        <v>5471680.9899999993</v>
      </c>
      <c r="I6" s="10" t="s">
        <v>1274</v>
      </c>
    </row>
    <row r="7" spans="1:12" s="18" customFormat="1" x14ac:dyDescent="0.2">
      <c r="A7" s="29">
        <f>A6+1</f>
        <v>2</v>
      </c>
      <c r="B7" s="121" t="s">
        <v>126</v>
      </c>
      <c r="C7" s="677">
        <v>5180105.9899999993</v>
      </c>
      <c r="D7" s="584">
        <v>0</v>
      </c>
      <c r="E7" s="713">
        <f>C7+D7</f>
        <v>5180105.9899999993</v>
      </c>
      <c r="F7" s="675"/>
      <c r="G7" s="675"/>
      <c r="H7" s="675"/>
      <c r="I7" s="675" t="s">
        <v>1241</v>
      </c>
      <c r="J7" s="675">
        <v>5407572.9900000002</v>
      </c>
      <c r="K7" s="675" t="s">
        <v>1273</v>
      </c>
      <c r="L7" s="675">
        <v>184927</v>
      </c>
    </row>
    <row r="8" spans="1:12" s="18" customFormat="1" x14ac:dyDescent="0.2">
      <c r="A8" s="29">
        <f>A7+1</f>
        <v>3</v>
      </c>
      <c r="B8" s="121" t="s">
        <v>374</v>
      </c>
      <c r="C8" s="677">
        <v>291575</v>
      </c>
      <c r="D8" s="677">
        <v>0</v>
      </c>
      <c r="E8" s="713">
        <f t="shared" ref="E8:E16" si="0">C8+D8</f>
        <v>291575</v>
      </c>
      <c r="F8" s="675"/>
      <c r="G8" s="709"/>
      <c r="H8" s="675"/>
      <c r="I8" s="675" t="s">
        <v>1241</v>
      </c>
      <c r="J8" s="675">
        <v>314969.69</v>
      </c>
      <c r="K8" s="675"/>
      <c r="L8" s="675">
        <f>J8-C8</f>
        <v>23394.690000000002</v>
      </c>
    </row>
    <row r="9" spans="1:12" s="18" customFormat="1" x14ac:dyDescent="0.2">
      <c r="A9" s="29">
        <f>A8+1</f>
        <v>4</v>
      </c>
      <c r="B9" s="121"/>
      <c r="C9" s="677"/>
      <c r="D9" s="677">
        <v>0</v>
      </c>
      <c r="E9" s="713"/>
      <c r="F9" s="675"/>
      <c r="G9" s="675"/>
      <c r="H9" s="675"/>
      <c r="I9" s="675"/>
      <c r="J9" s="675"/>
      <c r="K9" s="675"/>
      <c r="L9" s="675">
        <f>SUM(L7:L8)</f>
        <v>208321.69</v>
      </c>
    </row>
    <row r="10" spans="1:12" s="18" customFormat="1" x14ac:dyDescent="0.2">
      <c r="A10" s="29">
        <f>A9+1</f>
        <v>5</v>
      </c>
      <c r="B10" s="121"/>
      <c r="C10" s="677"/>
      <c r="D10" s="677">
        <v>0</v>
      </c>
      <c r="E10" s="713">
        <f t="shared" si="0"/>
        <v>0</v>
      </c>
      <c r="F10" s="675"/>
      <c r="G10" s="675"/>
      <c r="H10" s="675"/>
      <c r="I10" s="675"/>
      <c r="J10" s="675"/>
      <c r="K10" s="675"/>
      <c r="L10" s="675"/>
    </row>
    <row r="11" spans="1:12" s="18" customFormat="1" ht="31.5" x14ac:dyDescent="0.2">
      <c r="A11" s="41"/>
      <c r="B11" s="158" t="s">
        <v>692</v>
      </c>
      <c r="C11" s="714"/>
      <c r="D11" s="714"/>
      <c r="E11" s="715"/>
      <c r="F11" s="675"/>
      <c r="G11" s="675"/>
      <c r="H11" s="675"/>
      <c r="I11" s="675"/>
      <c r="J11" s="675"/>
      <c r="K11" s="675"/>
      <c r="L11" s="675"/>
    </row>
    <row r="12" spans="1:12" x14ac:dyDescent="0.25">
      <c r="A12" s="41">
        <v>6</v>
      </c>
      <c r="B12" s="121" t="s">
        <v>16</v>
      </c>
      <c r="C12" s="678">
        <v>8253.9599999999991</v>
      </c>
      <c r="D12" s="678">
        <v>0</v>
      </c>
      <c r="E12" s="713">
        <f t="shared" si="0"/>
        <v>8253.9599999999991</v>
      </c>
      <c r="F12" s="676"/>
      <c r="G12" s="676"/>
      <c r="H12" s="676"/>
      <c r="I12" s="676"/>
      <c r="J12" s="676"/>
      <c r="K12" s="676"/>
      <c r="L12" s="676"/>
    </row>
    <row r="13" spans="1:12" x14ac:dyDescent="0.25">
      <c r="A13" s="41">
        <v>7</v>
      </c>
      <c r="B13" s="121" t="s">
        <v>17</v>
      </c>
      <c r="C13" s="677">
        <v>397160</v>
      </c>
      <c r="D13" s="677">
        <v>0</v>
      </c>
      <c r="E13" s="713">
        <f t="shared" si="0"/>
        <v>397160</v>
      </c>
      <c r="F13" s="676"/>
      <c r="G13" s="676"/>
      <c r="H13" s="676"/>
      <c r="I13" s="676"/>
      <c r="J13" s="676"/>
      <c r="K13" s="676"/>
      <c r="L13" s="676"/>
    </row>
    <row r="14" spans="1:12" s="43" customFormat="1" x14ac:dyDescent="0.25">
      <c r="A14" s="41"/>
      <c r="B14" s="74"/>
      <c r="C14" s="716"/>
      <c r="D14" s="716"/>
      <c r="E14" s="715"/>
      <c r="F14" s="710"/>
      <c r="G14" s="710"/>
      <c r="H14" s="710"/>
      <c r="I14" s="710"/>
      <c r="J14" s="710"/>
      <c r="K14" s="710"/>
      <c r="L14" s="710"/>
    </row>
    <row r="15" spans="1:12" x14ac:dyDescent="0.25">
      <c r="A15" s="41">
        <v>8</v>
      </c>
      <c r="B15" s="74" t="s">
        <v>378</v>
      </c>
      <c r="C15" s="717">
        <f>SUM(C16:C17)</f>
        <v>0</v>
      </c>
      <c r="D15" s="717">
        <f>SUM(D16:D17)</f>
        <v>0</v>
      </c>
      <c r="E15" s="713">
        <f t="shared" si="0"/>
        <v>0</v>
      </c>
      <c r="F15" s="676"/>
      <c r="G15" s="676"/>
      <c r="H15" s="676"/>
      <c r="I15" s="676"/>
      <c r="J15" s="676"/>
      <c r="K15" s="676"/>
      <c r="L15" s="676"/>
    </row>
    <row r="16" spans="1:12" ht="31.5" x14ac:dyDescent="0.25">
      <c r="A16" s="41" t="s">
        <v>376</v>
      </c>
      <c r="B16" s="297" t="s">
        <v>777</v>
      </c>
      <c r="C16" s="678">
        <v>0</v>
      </c>
      <c r="D16" s="678">
        <v>0</v>
      </c>
      <c r="E16" s="713">
        <f t="shared" si="0"/>
        <v>0</v>
      </c>
      <c r="F16" s="676"/>
      <c r="G16" s="676"/>
      <c r="H16" s="676"/>
      <c r="I16" s="711"/>
      <c r="J16" s="676"/>
      <c r="K16" s="676"/>
      <c r="L16" s="676"/>
    </row>
    <row r="17" spans="1:12" x14ac:dyDescent="0.25">
      <c r="A17" s="41"/>
      <c r="B17" s="74"/>
      <c r="C17" s="716"/>
      <c r="D17" s="716">
        <v>0</v>
      </c>
      <c r="E17" s="715"/>
      <c r="F17" s="676"/>
      <c r="G17" s="676"/>
      <c r="H17" s="676"/>
      <c r="I17" s="676"/>
      <c r="J17" s="676"/>
      <c r="K17" s="676"/>
      <c r="L17" s="676"/>
    </row>
    <row r="18" spans="1:12" ht="16.5" thickBot="1" x14ac:dyDescent="0.3">
      <c r="A18" s="128">
        <v>9</v>
      </c>
      <c r="B18" s="129" t="s">
        <v>664</v>
      </c>
      <c r="C18" s="388">
        <f>C6+C12+C13+C15</f>
        <v>5877094.9499999993</v>
      </c>
      <c r="D18" s="388">
        <f>D6+D12+D13+D15</f>
        <v>0</v>
      </c>
      <c r="E18" s="718">
        <f>E6+E12+E13+E15</f>
        <v>5877094.9499999993</v>
      </c>
      <c r="F18" s="676"/>
      <c r="G18" s="676"/>
      <c r="H18" s="676"/>
      <c r="I18" s="676"/>
      <c r="J18" s="676"/>
      <c r="K18" s="676"/>
      <c r="L18" s="676"/>
    </row>
    <row r="19" spans="1:12" x14ac:dyDescent="0.25">
      <c r="E19" s="21"/>
      <c r="F19" s="676"/>
      <c r="G19" s="676"/>
      <c r="H19" s="676"/>
      <c r="I19" s="676"/>
      <c r="J19" s="676"/>
      <c r="K19" s="676"/>
      <c r="L19" s="676"/>
    </row>
    <row r="20" spans="1:12" x14ac:dyDescent="0.25">
      <c r="D20" s="719"/>
      <c r="F20" s="676"/>
      <c r="G20" s="676"/>
      <c r="H20" s="676"/>
      <c r="I20" s="676"/>
      <c r="J20" s="676"/>
      <c r="K20" s="676"/>
      <c r="L20" s="676"/>
    </row>
    <row r="21" spans="1:12" x14ac:dyDescent="0.25">
      <c r="B21" s="200"/>
      <c r="C21" s="3"/>
    </row>
    <row r="22" spans="1:12" x14ac:dyDescent="0.25">
      <c r="B22" s="3"/>
      <c r="C22" s="3"/>
    </row>
    <row r="23" spans="1:12" x14ac:dyDescent="0.25">
      <c r="B23" s="3"/>
      <c r="C23" s="3"/>
    </row>
    <row r="24" spans="1:12" x14ac:dyDescent="0.25">
      <c r="D24" s="325"/>
    </row>
  </sheetData>
  <protectedRanges>
    <protectedRange sqref="C8:D10" name="Rozsah2_1"/>
    <protectedRange sqref="C11:D11" name="Rozsah2_2"/>
  </protectedRanges>
  <mergeCells count="2">
    <mergeCell ref="A1:E1"/>
    <mergeCell ref="A2:E2"/>
  </mergeCells>
  <phoneticPr fontId="8"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Q49"/>
  <sheetViews>
    <sheetView zoomScale="90" zoomScaleNormal="90" workbookViewId="0">
      <pane xSplit="2" ySplit="5" topLeftCell="D54" activePane="bottomRight" state="frozen"/>
      <selection pane="topRight" activeCell="C1" sqref="C1"/>
      <selection pane="bottomLeft" activeCell="A6" sqref="A6"/>
      <selection pane="bottomRight" activeCell="D30" sqref="D30:Q65"/>
    </sheetView>
  </sheetViews>
  <sheetFormatPr defaultColWidth="9.140625" defaultRowHeight="15.75" x14ac:dyDescent="0.2"/>
  <cols>
    <col min="1" max="1" width="9.140625" style="18"/>
    <col min="2" max="2" width="75.42578125" style="66" customWidth="1"/>
    <col min="3" max="6" width="17.28515625" style="18" customWidth="1"/>
    <col min="7" max="7" width="36.7109375" style="18" customWidth="1"/>
    <col min="8" max="8" width="10.140625" style="18" bestFit="1" customWidth="1"/>
    <col min="9" max="16384" width="9.140625" style="18"/>
  </cols>
  <sheetData>
    <row r="1" spans="1:8" ht="35.1" customHeight="1" thickBot="1" x14ac:dyDescent="0.25">
      <c r="A1" s="913" t="s">
        <v>1017</v>
      </c>
      <c r="B1" s="1106"/>
      <c r="C1" s="1106"/>
      <c r="D1" s="1106"/>
      <c r="E1" s="1106"/>
      <c r="F1" s="1107"/>
    </row>
    <row r="2" spans="1:8" ht="35.1" customHeight="1" x14ac:dyDescent="0.2">
      <c r="A2" s="954" t="s">
        <v>366</v>
      </c>
      <c r="B2" s="1019"/>
      <c r="C2" s="1020" t="s">
        <v>829</v>
      </c>
      <c r="D2" s="1020"/>
      <c r="E2" s="1020"/>
      <c r="F2" s="1021"/>
    </row>
    <row r="3" spans="1:8" ht="22.9" customHeight="1" x14ac:dyDescent="0.2">
      <c r="A3" s="941" t="s">
        <v>180</v>
      </c>
      <c r="B3" s="970" t="s">
        <v>299</v>
      </c>
      <c r="C3" s="966">
        <v>2018</v>
      </c>
      <c r="D3" s="966"/>
      <c r="E3" s="966">
        <v>2019</v>
      </c>
      <c r="F3" s="1029"/>
    </row>
    <row r="4" spans="1:8" ht="75" customHeight="1" x14ac:dyDescent="0.2">
      <c r="A4" s="941"/>
      <c r="B4" s="970"/>
      <c r="C4" s="443" t="s">
        <v>37</v>
      </c>
      <c r="D4" s="443" t="s">
        <v>171</v>
      </c>
      <c r="E4" s="443" t="s">
        <v>37</v>
      </c>
      <c r="F4" s="444" t="s">
        <v>172</v>
      </c>
    </row>
    <row r="5" spans="1:8" x14ac:dyDescent="0.2">
      <c r="A5" s="29"/>
      <c r="B5" s="91"/>
      <c r="C5" s="39" t="s">
        <v>257</v>
      </c>
      <c r="D5" s="39" t="s">
        <v>258</v>
      </c>
      <c r="E5" s="39" t="s">
        <v>259</v>
      </c>
      <c r="F5" s="40" t="s">
        <v>266</v>
      </c>
    </row>
    <row r="6" spans="1:8" ht="31.5" x14ac:dyDescent="0.2">
      <c r="A6" s="29">
        <v>1</v>
      </c>
      <c r="B6" s="498" t="s">
        <v>1018</v>
      </c>
      <c r="C6" s="681">
        <f>C7+C10+C13+C16+C19+C22</f>
        <v>235118.28</v>
      </c>
      <c r="D6" s="670">
        <f t="shared" ref="D6:F6" si="0">D7+D10+D13+D16+D19+D22</f>
        <v>1161</v>
      </c>
      <c r="E6" s="681">
        <f t="shared" si="0"/>
        <v>352561.55</v>
      </c>
      <c r="F6" s="670">
        <f t="shared" si="0"/>
        <v>1690</v>
      </c>
      <c r="G6" s="359"/>
      <c r="H6" s="675"/>
    </row>
    <row r="7" spans="1:8" x14ac:dyDescent="0.2">
      <c r="A7" s="29">
        <v>2</v>
      </c>
      <c r="B7" s="498" t="s">
        <v>1019</v>
      </c>
      <c r="C7" s="681">
        <f>SUM(C8:C9)</f>
        <v>54858</v>
      </c>
      <c r="D7" s="670">
        <f t="shared" ref="D7:F7" si="1">SUM(D8:D9)</f>
        <v>221</v>
      </c>
      <c r="E7" s="681">
        <f t="shared" si="1"/>
        <v>62030</v>
      </c>
      <c r="F7" s="671">
        <f t="shared" si="1"/>
        <v>268</v>
      </c>
      <c r="G7" s="359"/>
    </row>
    <row r="8" spans="1:8" x14ac:dyDescent="0.2">
      <c r="A8" s="29">
        <v>3</v>
      </c>
      <c r="B8" s="497" t="s">
        <v>49</v>
      </c>
      <c r="C8" s="677">
        <v>54858</v>
      </c>
      <c r="D8" s="669">
        <v>221</v>
      </c>
      <c r="E8" s="649">
        <v>62030</v>
      </c>
      <c r="F8" s="669">
        <v>268</v>
      </c>
      <c r="G8" s="359"/>
      <c r="H8" s="675"/>
    </row>
    <row r="9" spans="1:8" ht="18.75" x14ac:dyDescent="0.2">
      <c r="A9" s="29">
        <v>4</v>
      </c>
      <c r="B9" s="497" t="s">
        <v>1020</v>
      </c>
      <c r="C9" s="677"/>
      <c r="D9" s="668"/>
      <c r="E9" s="677"/>
      <c r="F9" s="669"/>
      <c r="G9" s="359"/>
    </row>
    <row r="10" spans="1:8" ht="21" customHeight="1" x14ac:dyDescent="0.2">
      <c r="A10" s="29">
        <v>5</v>
      </c>
      <c r="B10" s="498" t="s">
        <v>847</v>
      </c>
      <c r="C10" s="681">
        <f>SUM(C11:C12)</f>
        <v>11035</v>
      </c>
      <c r="D10" s="670">
        <f t="shared" ref="D10:F10" si="2">SUM(D11:D12)</f>
        <v>101</v>
      </c>
      <c r="E10" s="681">
        <f t="shared" si="2"/>
        <v>65192.31</v>
      </c>
      <c r="F10" s="671">
        <f t="shared" si="2"/>
        <v>623</v>
      </c>
      <c r="G10" s="359"/>
    </row>
    <row r="11" spans="1:8" x14ac:dyDescent="0.2">
      <c r="A11" s="29">
        <v>6</v>
      </c>
      <c r="B11" s="497" t="s">
        <v>49</v>
      </c>
      <c r="C11" s="677">
        <v>11035</v>
      </c>
      <c r="D11" s="669">
        <v>101</v>
      </c>
      <c r="E11" s="649">
        <v>65192.31</v>
      </c>
      <c r="F11" s="669">
        <v>623</v>
      </c>
      <c r="G11" s="359"/>
    </row>
    <row r="12" spans="1:8" ht="18.75" x14ac:dyDescent="0.2">
      <c r="A12" s="29">
        <v>7</v>
      </c>
      <c r="B12" s="497" t="s">
        <v>1020</v>
      </c>
      <c r="C12" s="677"/>
      <c r="D12" s="668"/>
      <c r="E12" s="677"/>
      <c r="F12" s="669"/>
      <c r="G12" s="359"/>
    </row>
    <row r="13" spans="1:8" x14ac:dyDescent="0.2">
      <c r="A13" s="29">
        <v>8</v>
      </c>
      <c r="B13" s="498" t="s">
        <v>848</v>
      </c>
      <c r="C13" s="681">
        <f>C14+C15</f>
        <v>3280</v>
      </c>
      <c r="D13" s="670">
        <f t="shared" ref="D13:F13" si="3">D14+D15</f>
        <v>20</v>
      </c>
      <c r="E13" s="681">
        <f t="shared" si="3"/>
        <v>12000</v>
      </c>
      <c r="F13" s="671">
        <f t="shared" si="3"/>
        <v>40</v>
      </c>
      <c r="G13" s="359"/>
    </row>
    <row r="14" spans="1:8" x14ac:dyDescent="0.2">
      <c r="A14" s="29">
        <v>9</v>
      </c>
      <c r="B14" s="497" t="s">
        <v>49</v>
      </c>
      <c r="C14" s="677">
        <v>3280</v>
      </c>
      <c r="D14" s="669">
        <v>20</v>
      </c>
      <c r="E14" s="649">
        <v>12000</v>
      </c>
      <c r="F14" s="669">
        <v>40</v>
      </c>
      <c r="G14" s="359"/>
    </row>
    <row r="15" spans="1:8" ht="18.75" x14ac:dyDescent="0.2">
      <c r="A15" s="29">
        <v>10</v>
      </c>
      <c r="B15" s="497" t="s">
        <v>1020</v>
      </c>
      <c r="C15" s="677"/>
      <c r="D15" s="668"/>
      <c r="E15" s="677"/>
      <c r="F15" s="669"/>
      <c r="G15" s="359"/>
    </row>
    <row r="16" spans="1:8" x14ac:dyDescent="0.2">
      <c r="A16" s="29">
        <v>11</v>
      </c>
      <c r="B16" s="498" t="s">
        <v>1021</v>
      </c>
      <c r="C16" s="681">
        <f>SUM(C17:C18)</f>
        <v>1635</v>
      </c>
      <c r="D16" s="670">
        <f t="shared" ref="D16:F16" si="4">SUM(D17:D18)</f>
        <v>21</v>
      </c>
      <c r="E16" s="681">
        <f t="shared" si="4"/>
        <v>26558</v>
      </c>
      <c r="F16" s="671">
        <f t="shared" si="4"/>
        <v>219</v>
      </c>
    </row>
    <row r="17" spans="1:17" x14ac:dyDescent="0.2">
      <c r="A17" s="29">
        <v>12</v>
      </c>
      <c r="B17" s="497" t="s">
        <v>49</v>
      </c>
      <c r="C17" s="677">
        <v>1635</v>
      </c>
      <c r="D17" s="669">
        <v>21</v>
      </c>
      <c r="E17" s="677">
        <v>26558</v>
      </c>
      <c r="F17" s="669">
        <v>219</v>
      </c>
    </row>
    <row r="18" spans="1:17" ht="18.75" x14ac:dyDescent="0.2">
      <c r="A18" s="29">
        <v>13</v>
      </c>
      <c r="B18" s="497" t="s">
        <v>1020</v>
      </c>
      <c r="C18" s="677"/>
      <c r="D18" s="668"/>
      <c r="E18" s="677"/>
      <c r="F18" s="669"/>
    </row>
    <row r="19" spans="1:17" x14ac:dyDescent="0.2">
      <c r="A19" s="29">
        <v>14</v>
      </c>
      <c r="B19" s="498" t="s">
        <v>1022</v>
      </c>
      <c r="C19" s="681">
        <f>SUM(C20:C21)</f>
        <v>0</v>
      </c>
      <c r="D19" s="670">
        <f t="shared" ref="D19:F19" si="5">SUM(D20:D21)</f>
        <v>0</v>
      </c>
      <c r="E19" s="681">
        <f t="shared" si="5"/>
        <v>0</v>
      </c>
      <c r="F19" s="671">
        <f t="shared" si="5"/>
        <v>0</v>
      </c>
    </row>
    <row r="20" spans="1:17" x14ac:dyDescent="0.2">
      <c r="A20" s="29">
        <v>15</v>
      </c>
      <c r="B20" s="497" t="s">
        <v>49</v>
      </c>
      <c r="C20" s="677">
        <v>0</v>
      </c>
      <c r="D20" s="668">
        <v>0</v>
      </c>
      <c r="E20" s="677"/>
      <c r="F20" s="669"/>
    </row>
    <row r="21" spans="1:17" ht="18.75" x14ac:dyDescent="0.2">
      <c r="A21" s="29">
        <v>16</v>
      </c>
      <c r="B21" s="505" t="s">
        <v>1020</v>
      </c>
      <c r="C21" s="678"/>
      <c r="D21" s="672"/>
      <c r="E21" s="678"/>
      <c r="F21" s="679"/>
    </row>
    <row r="22" spans="1:17" x14ac:dyDescent="0.2">
      <c r="A22" s="29">
        <v>17</v>
      </c>
      <c r="B22" s="506" t="s">
        <v>957</v>
      </c>
      <c r="C22" s="681">
        <f>C23+C24</f>
        <v>164310.28</v>
      </c>
      <c r="D22" s="123">
        <f t="shared" ref="D22:F22" si="6">D23+D24</f>
        <v>798</v>
      </c>
      <c r="E22" s="681">
        <f t="shared" si="6"/>
        <v>186781.24</v>
      </c>
      <c r="F22" s="671">
        <f t="shared" si="6"/>
        <v>540</v>
      </c>
    </row>
    <row r="23" spans="1:17" x14ac:dyDescent="0.2">
      <c r="A23" s="29">
        <v>18</v>
      </c>
      <c r="B23" s="497" t="s">
        <v>49</v>
      </c>
      <c r="C23" s="678">
        <v>164310.28</v>
      </c>
      <c r="D23" s="664">
        <v>798</v>
      </c>
      <c r="E23" s="678">
        <v>186781.24</v>
      </c>
      <c r="F23" s="679">
        <v>540</v>
      </c>
    </row>
    <row r="24" spans="1:17" ht="18.75" x14ac:dyDescent="0.2">
      <c r="A24" s="29">
        <v>19</v>
      </c>
      <c r="B24" s="505" t="s">
        <v>1020</v>
      </c>
      <c r="C24" s="152"/>
      <c r="D24" s="152"/>
      <c r="E24" s="152"/>
      <c r="F24" s="679"/>
    </row>
    <row r="25" spans="1:17" ht="19.5" thickBot="1" x14ac:dyDescent="0.25">
      <c r="A25" s="30">
        <v>20</v>
      </c>
      <c r="B25" s="507" t="s">
        <v>1023</v>
      </c>
      <c r="C25" s="153" t="s">
        <v>285</v>
      </c>
      <c r="D25" s="154">
        <v>1161</v>
      </c>
      <c r="E25" s="153" t="s">
        <v>285</v>
      </c>
      <c r="F25" s="680">
        <v>1690</v>
      </c>
    </row>
    <row r="26" spans="1:17" s="113" customFormat="1" x14ac:dyDescent="0.2">
      <c r="A26" s="338"/>
      <c r="B26" s="339"/>
      <c r="C26" s="340"/>
      <c r="D26" s="341"/>
      <c r="E26" s="340"/>
      <c r="F26" s="341"/>
    </row>
    <row r="27" spans="1:17" x14ac:dyDescent="0.2">
      <c r="A27" s="1100" t="s">
        <v>681</v>
      </c>
      <c r="B27" s="1101"/>
      <c r="C27" s="1101"/>
      <c r="D27" s="1101"/>
      <c r="E27" s="1101"/>
      <c r="F27" s="1102"/>
    </row>
    <row r="28" spans="1:17" x14ac:dyDescent="0.2">
      <c r="A28" s="1103" t="s">
        <v>682</v>
      </c>
      <c r="B28" s="1104"/>
      <c r="C28" s="1104"/>
      <c r="D28" s="1104"/>
      <c r="E28" s="1104"/>
      <c r="F28" s="1105"/>
    </row>
    <row r="29" spans="1:17" x14ac:dyDescent="0.2">
      <c r="A29" s="1099" t="s">
        <v>845</v>
      </c>
      <c r="B29" s="1099"/>
      <c r="C29" s="1099"/>
      <c r="D29" s="1099"/>
      <c r="E29" s="1099"/>
      <c r="F29" s="1099"/>
    </row>
    <row r="31" spans="1:17" x14ac:dyDescent="0.2">
      <c r="F31" s="675"/>
      <c r="G31" s="667"/>
    </row>
    <row r="32" spans="1:17" ht="15.75" customHeight="1" x14ac:dyDescent="0.2">
      <c r="D32" s="667"/>
      <c r="G32" s="1098"/>
      <c r="H32" s="1098"/>
      <c r="I32" s="1098"/>
      <c r="J32" s="1098"/>
      <c r="K32" s="1098"/>
      <c r="L32" s="1098"/>
      <c r="M32" s="1098"/>
      <c r="N32" s="1098"/>
      <c r="O32" s="1098"/>
      <c r="P32" s="1098"/>
      <c r="Q32" s="1098"/>
    </row>
    <row r="33" spans="2:17" x14ac:dyDescent="0.2">
      <c r="D33" s="804"/>
      <c r="E33" s="804"/>
      <c r="F33" s="804"/>
      <c r="G33" s="1098"/>
      <c r="H33" s="1098"/>
      <c r="I33" s="1098"/>
      <c r="J33" s="1098"/>
      <c r="K33" s="1098"/>
      <c r="L33" s="1098"/>
      <c r="M33" s="1098"/>
      <c r="N33" s="1098"/>
      <c r="O33" s="1098"/>
      <c r="P33" s="1098"/>
      <c r="Q33" s="1098"/>
    </row>
    <row r="34" spans="2:17" x14ac:dyDescent="0.2">
      <c r="G34" s="1098"/>
      <c r="H34" s="1098"/>
      <c r="I34" s="1098"/>
      <c r="J34" s="1098"/>
      <c r="K34" s="1098"/>
      <c r="L34" s="1098"/>
      <c r="M34" s="1098"/>
      <c r="N34" s="1098"/>
      <c r="O34" s="1098"/>
      <c r="P34" s="1098"/>
      <c r="Q34" s="1098"/>
    </row>
    <row r="35" spans="2:17" x14ac:dyDescent="0.25">
      <c r="B35" s="223" t="s">
        <v>1294</v>
      </c>
      <c r="C35" s="675">
        <f>'T13-Fondy'!H16</f>
        <v>2747909.78</v>
      </c>
      <c r="D35" s="675"/>
    </row>
    <row r="36" spans="2:17" x14ac:dyDescent="0.2">
      <c r="D36" s="796"/>
      <c r="H36" s="675"/>
    </row>
    <row r="39" spans="2:17" x14ac:dyDescent="0.2">
      <c r="C39" s="826" t="s">
        <v>1240</v>
      </c>
      <c r="D39" s="826"/>
      <c r="E39" s="826"/>
      <c r="F39" s="826"/>
      <c r="G39" s="826"/>
      <c r="H39" s="826"/>
      <c r="I39" s="826"/>
      <c r="J39" s="826"/>
      <c r="K39" s="826"/>
      <c r="L39" s="826"/>
      <c r="M39" s="826"/>
      <c r="N39" s="826"/>
      <c r="O39" s="826"/>
      <c r="P39" s="826"/>
      <c r="Q39" s="826"/>
    </row>
    <row r="40" spans="2:17" x14ac:dyDescent="0.2">
      <c r="C40" s="826"/>
      <c r="D40" s="826"/>
      <c r="E40" s="826"/>
      <c r="F40" s="826"/>
      <c r="G40" s="826"/>
      <c r="H40" s="826"/>
      <c r="I40" s="826"/>
      <c r="J40" s="826"/>
      <c r="K40" s="826"/>
      <c r="L40" s="826"/>
      <c r="M40" s="826"/>
      <c r="N40" s="826"/>
      <c r="O40" s="826"/>
      <c r="P40" s="826"/>
      <c r="Q40" s="826"/>
    </row>
    <row r="41" spans="2:17" x14ac:dyDescent="0.2">
      <c r="C41" s="826" t="s">
        <v>1286</v>
      </c>
      <c r="D41" s="730"/>
      <c r="E41" s="730"/>
      <c r="F41" s="730"/>
      <c r="G41" s="826"/>
      <c r="H41" s="826"/>
      <c r="I41" s="826"/>
      <c r="J41" s="826"/>
      <c r="K41" s="826"/>
      <c r="L41" s="826"/>
      <c r="M41" s="826"/>
      <c r="N41" s="826"/>
      <c r="O41" s="826"/>
      <c r="P41" s="826"/>
      <c r="Q41" s="826"/>
    </row>
    <row r="42" spans="2:17" x14ac:dyDescent="0.2">
      <c r="C42" s="826" t="s">
        <v>1287</v>
      </c>
      <c r="D42" s="730"/>
      <c r="E42" s="730"/>
      <c r="F42" s="730"/>
      <c r="G42" s="826"/>
      <c r="H42" s="826"/>
      <c r="I42" s="826"/>
      <c r="J42" s="826"/>
      <c r="K42" s="826"/>
      <c r="L42" s="826"/>
      <c r="M42" s="826"/>
      <c r="N42" s="826"/>
      <c r="O42" s="826"/>
      <c r="P42" s="826"/>
      <c r="Q42" s="826"/>
    </row>
    <row r="43" spans="2:17" x14ac:dyDescent="0.2">
      <c r="C43" s="826" t="s">
        <v>1288</v>
      </c>
      <c r="D43" s="730"/>
      <c r="E43" s="730"/>
      <c r="F43" s="730"/>
      <c r="G43" s="826"/>
      <c r="H43" s="826"/>
      <c r="I43" s="826"/>
      <c r="J43" s="826"/>
      <c r="K43" s="826"/>
      <c r="L43" s="826"/>
      <c r="M43" s="826"/>
      <c r="N43" s="826"/>
      <c r="O43" s="826"/>
      <c r="P43" s="826"/>
      <c r="Q43" s="826"/>
    </row>
    <row r="44" spans="2:17" x14ac:dyDescent="0.25">
      <c r="C44" s="826" t="s">
        <v>1289</v>
      </c>
      <c r="D44" s="730"/>
      <c r="E44" s="730"/>
      <c r="F44" s="730"/>
      <c r="G44" s="830"/>
      <c r="H44" s="826"/>
      <c r="I44" s="826"/>
      <c r="J44" s="826"/>
      <c r="K44" s="826"/>
      <c r="L44" s="826"/>
      <c r="M44" s="826"/>
      <c r="N44" s="826"/>
      <c r="O44" s="826"/>
      <c r="P44" s="826"/>
      <c r="Q44" s="826"/>
    </row>
    <row r="45" spans="2:17" x14ac:dyDescent="0.2">
      <c r="C45" s="826" t="s">
        <v>1290</v>
      </c>
      <c r="D45" s="730"/>
      <c r="E45" s="730"/>
      <c r="F45" s="730"/>
      <c r="G45" s="826"/>
      <c r="H45" s="826"/>
      <c r="I45" s="826"/>
      <c r="J45" s="826"/>
      <c r="K45" s="826"/>
      <c r="L45" s="826"/>
      <c r="M45" s="826"/>
      <c r="N45" s="826"/>
      <c r="O45" s="826"/>
      <c r="P45" s="826"/>
      <c r="Q45" s="826"/>
    </row>
    <row r="46" spans="2:17" x14ac:dyDescent="0.2">
      <c r="C46" s="826" t="s">
        <v>1291</v>
      </c>
      <c r="D46" s="730"/>
      <c r="E46" s="730"/>
      <c r="F46" s="730"/>
      <c r="G46" s="826"/>
      <c r="H46" s="826"/>
      <c r="I46" s="826"/>
      <c r="J46" s="826"/>
      <c r="K46" s="826"/>
      <c r="L46" s="826"/>
      <c r="M46" s="826"/>
      <c r="N46" s="826"/>
      <c r="O46" s="826"/>
      <c r="P46" s="826"/>
      <c r="Q46" s="826"/>
    </row>
    <row r="47" spans="2:17" x14ac:dyDescent="0.2">
      <c r="C47" s="132" t="s">
        <v>1292</v>
      </c>
      <c r="D47" s="831"/>
      <c r="E47" s="831"/>
      <c r="F47" s="831"/>
      <c r="G47" s="1098"/>
      <c r="H47" s="1098"/>
      <c r="I47" s="1098"/>
      <c r="J47" s="1098"/>
      <c r="K47" s="1098"/>
      <c r="L47" s="1098"/>
      <c r="M47" s="1098"/>
      <c r="N47" s="1098"/>
      <c r="O47" s="1098"/>
      <c r="P47" s="1098"/>
      <c r="Q47" s="1098"/>
    </row>
    <row r="48" spans="2:17" x14ac:dyDescent="0.2">
      <c r="C48" s="826" t="s">
        <v>1293</v>
      </c>
      <c r="D48" s="730"/>
      <c r="E48" s="730"/>
      <c r="F48" s="730"/>
      <c r="G48" s="826"/>
      <c r="H48" s="826"/>
      <c r="I48" s="826"/>
      <c r="J48" s="826"/>
      <c r="K48" s="826"/>
      <c r="L48" s="826"/>
      <c r="M48" s="826"/>
      <c r="N48" s="826"/>
      <c r="O48" s="826"/>
      <c r="P48" s="826"/>
      <c r="Q48" s="826"/>
    </row>
    <row r="49" spans="3:17" x14ac:dyDescent="0.2">
      <c r="C49" s="826"/>
      <c r="D49" s="730"/>
      <c r="E49" s="730"/>
      <c r="F49" s="805"/>
      <c r="G49" s="862"/>
      <c r="H49" s="863"/>
      <c r="I49" s="826"/>
      <c r="J49" s="826"/>
      <c r="K49" s="826"/>
      <c r="L49" s="826"/>
      <c r="M49" s="826"/>
      <c r="N49" s="826"/>
      <c r="O49" s="826"/>
      <c r="P49" s="826"/>
      <c r="Q49" s="826"/>
    </row>
  </sheetData>
  <mergeCells count="12">
    <mergeCell ref="A1:F1"/>
    <mergeCell ref="A3:A4"/>
    <mergeCell ref="B3:B4"/>
    <mergeCell ref="C3:D3"/>
    <mergeCell ref="E3:F3"/>
    <mergeCell ref="A2:B2"/>
    <mergeCell ref="G47:Q47"/>
    <mergeCell ref="C2:F2"/>
    <mergeCell ref="A29:F29"/>
    <mergeCell ref="A27:F27"/>
    <mergeCell ref="A28:F28"/>
    <mergeCell ref="G32:Q34"/>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16"/>
  <sheetViews>
    <sheetView zoomScale="90" zoomScaleNormal="90" workbookViewId="0">
      <pane xSplit="2" ySplit="5" topLeftCell="E10" activePane="bottomRight" state="frozen"/>
      <selection pane="topRight" activeCell="C1" sqref="C1"/>
      <selection pane="bottomLeft" activeCell="A5" sqref="A5"/>
      <selection pane="bottomRight" activeCell="G11" sqref="G11:H16"/>
    </sheetView>
  </sheetViews>
  <sheetFormatPr defaultColWidth="9.140625" defaultRowHeight="18.75" x14ac:dyDescent="0.25"/>
  <cols>
    <col min="1" max="1" width="9.140625" style="226"/>
    <col min="2" max="2" width="87.42578125" style="250" customWidth="1"/>
    <col min="3" max="3" width="20.28515625" style="283" customWidth="1"/>
    <col min="4" max="4" width="23.5703125" style="283" customWidth="1"/>
    <col min="5" max="5" width="22.140625" style="283" customWidth="1"/>
    <col min="6" max="6" width="23.85546875" style="226" customWidth="1"/>
    <col min="7" max="7" width="16.140625" style="226" customWidth="1"/>
    <col min="8" max="9" width="13.140625" style="226" bestFit="1" customWidth="1"/>
    <col min="10" max="16384" width="9.140625" style="226"/>
  </cols>
  <sheetData>
    <row r="1" spans="1:9" ht="50.1" customHeight="1" thickBot="1" x14ac:dyDescent="0.3">
      <c r="A1" s="1036" t="s">
        <v>1024</v>
      </c>
      <c r="B1" s="1111"/>
      <c r="C1" s="1111"/>
      <c r="D1" s="1112"/>
      <c r="E1" s="1112"/>
      <c r="F1" s="1113"/>
    </row>
    <row r="2" spans="1:9" ht="35.1" customHeight="1" thickBot="1" x14ac:dyDescent="0.3">
      <c r="A2" s="1114" t="s">
        <v>366</v>
      </c>
      <c r="B2" s="1115"/>
      <c r="C2" s="1115"/>
      <c r="D2" s="1116"/>
      <c r="E2" s="1116"/>
      <c r="F2" s="1117"/>
    </row>
    <row r="3" spans="1:9" ht="33" customHeight="1" x14ac:dyDescent="0.25">
      <c r="A3" s="1018" t="s">
        <v>180</v>
      </c>
      <c r="B3" s="1120" t="s">
        <v>299</v>
      </c>
      <c r="C3" s="1118">
        <v>2018</v>
      </c>
      <c r="D3" s="1118"/>
      <c r="E3" s="1118">
        <v>2019</v>
      </c>
      <c r="F3" s="1118"/>
    </row>
    <row r="4" spans="1:9" ht="71.25" customHeight="1" x14ac:dyDescent="0.25">
      <c r="A4" s="941"/>
      <c r="B4" s="1121"/>
      <c r="C4" s="516" t="s">
        <v>896</v>
      </c>
      <c r="D4" s="516" t="s">
        <v>1118</v>
      </c>
      <c r="E4" s="516" t="s">
        <v>896</v>
      </c>
      <c r="F4" s="517" t="s">
        <v>1118</v>
      </c>
    </row>
    <row r="5" spans="1:9" ht="18.75" customHeight="1" x14ac:dyDescent="0.25">
      <c r="A5" s="228"/>
      <c r="B5" s="229"/>
      <c r="C5" s="230" t="s">
        <v>257</v>
      </c>
      <c r="D5" s="230" t="s">
        <v>258</v>
      </c>
      <c r="E5" s="398" t="s">
        <v>259</v>
      </c>
      <c r="F5" s="400" t="s">
        <v>266</v>
      </c>
    </row>
    <row r="6" spans="1:9" s="280" customFormat="1" ht="34.5" customHeight="1" x14ac:dyDescent="0.2">
      <c r="A6" s="235">
        <v>1</v>
      </c>
      <c r="B6" s="399" t="s">
        <v>751</v>
      </c>
      <c r="C6" s="238">
        <v>6491</v>
      </c>
      <c r="D6" s="238">
        <v>887.9</v>
      </c>
      <c r="E6" s="237">
        <f>C9</f>
        <v>29765.550000000047</v>
      </c>
      <c r="F6" s="401">
        <f>D9</f>
        <v>3014.9000000000233</v>
      </c>
      <c r="G6" s="1108"/>
      <c r="H6" s="1109"/>
      <c r="I6" s="651"/>
    </row>
    <row r="7" spans="1:9" ht="36" customHeight="1" x14ac:dyDescent="0.25">
      <c r="A7" s="235">
        <v>2</v>
      </c>
      <c r="B7" s="399" t="s">
        <v>890</v>
      </c>
      <c r="C7" s="665">
        <v>1328720</v>
      </c>
      <c r="D7" s="666">
        <v>616750</v>
      </c>
      <c r="E7" s="238">
        <v>1197746</v>
      </c>
      <c r="F7" s="402">
        <v>551273</v>
      </c>
      <c r="G7" s="1108"/>
      <c r="H7" s="1109"/>
      <c r="I7" s="650"/>
    </row>
    <row r="8" spans="1:9" ht="35.25" customHeight="1" x14ac:dyDescent="0.25">
      <c r="A8" s="235">
        <v>3</v>
      </c>
      <c r="B8" s="399" t="s">
        <v>752</v>
      </c>
      <c r="C8" s="665">
        <v>1305445.45</v>
      </c>
      <c r="D8" s="666">
        <v>614623</v>
      </c>
      <c r="E8" s="238">
        <v>1237390</v>
      </c>
      <c r="F8" s="402">
        <v>556375.56000000006</v>
      </c>
      <c r="G8" s="650"/>
      <c r="H8" s="650"/>
      <c r="I8" s="650"/>
    </row>
    <row r="9" spans="1:9" ht="39.75" customHeight="1" x14ac:dyDescent="0.25">
      <c r="A9" s="235">
        <v>4</v>
      </c>
      <c r="B9" s="399" t="s">
        <v>891</v>
      </c>
      <c r="C9" s="237">
        <f>C6+C7-C8</f>
        <v>29765.550000000047</v>
      </c>
      <c r="D9" s="237">
        <f>D6+D7-D8</f>
        <v>3014.9000000000233</v>
      </c>
      <c r="E9" s="237">
        <f>E6+E7-E8</f>
        <v>-9878.4499999999534</v>
      </c>
      <c r="F9" s="401">
        <f>F6+F7-F8</f>
        <v>-2087.6600000000326</v>
      </c>
      <c r="G9" s="650"/>
      <c r="H9" s="650"/>
      <c r="I9" s="650"/>
    </row>
    <row r="10" spans="1:9" ht="36" customHeight="1" thickBot="1" x14ac:dyDescent="0.3">
      <c r="A10" s="403">
        <v>5</v>
      </c>
      <c r="B10" s="404" t="s">
        <v>892</v>
      </c>
      <c r="C10" s="673">
        <v>3172</v>
      </c>
      <c r="D10" s="674">
        <v>1452</v>
      </c>
      <c r="E10" s="405">
        <v>2924</v>
      </c>
      <c r="F10" s="406">
        <v>1404</v>
      </c>
      <c r="G10" s="650"/>
      <c r="H10" s="650"/>
      <c r="I10" s="650"/>
    </row>
    <row r="11" spans="1:9" ht="21" customHeight="1" x14ac:dyDescent="0.25">
      <c r="A11" s="281"/>
      <c r="B11" s="282"/>
      <c r="C11" s="226"/>
      <c r="D11" s="226"/>
      <c r="E11" s="226"/>
      <c r="G11" s="1110"/>
      <c r="H11" s="1110"/>
      <c r="I11" s="650"/>
    </row>
    <row r="12" spans="1:9" ht="21" customHeight="1" x14ac:dyDescent="0.25">
      <c r="A12" s="1119" t="s">
        <v>893</v>
      </c>
      <c r="B12" s="1119"/>
      <c r="C12" s="1119"/>
      <c r="D12" s="1119"/>
      <c r="E12" s="1119"/>
      <c r="F12" s="1119"/>
      <c r="G12" s="1110"/>
      <c r="H12" s="1110"/>
    </row>
    <row r="13" spans="1:9" ht="18" x14ac:dyDescent="0.25">
      <c r="A13" s="344" t="s">
        <v>894</v>
      </c>
      <c r="B13" s="345"/>
      <c r="C13" s="342"/>
      <c r="D13" s="342"/>
      <c r="E13" s="342"/>
      <c r="F13" s="343"/>
      <c r="H13" s="803"/>
    </row>
    <row r="14" spans="1:9" ht="18" x14ac:dyDescent="0.25">
      <c r="A14" s="344" t="s">
        <v>895</v>
      </c>
      <c r="B14" s="345"/>
      <c r="C14" s="342"/>
      <c r="D14" s="342"/>
      <c r="E14" s="342"/>
      <c r="F14" s="343"/>
      <c r="H14" s="650"/>
    </row>
    <row r="15" spans="1:9" x14ac:dyDescent="0.25">
      <c r="H15" s="650"/>
    </row>
    <row r="16" spans="1:9" x14ac:dyDescent="0.25">
      <c r="C16" s="283" t="s">
        <v>147</v>
      </c>
    </row>
  </sheetData>
  <mergeCells count="10">
    <mergeCell ref="G6:H6"/>
    <mergeCell ref="G7:H7"/>
    <mergeCell ref="G11:H12"/>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72"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1"/>
  <sheetViews>
    <sheetView zoomScale="90" zoomScaleNormal="90" workbookViewId="0">
      <pane xSplit="1" ySplit="5" topLeftCell="C8" activePane="bottomRight" state="frozen"/>
      <selection pane="topRight" activeCell="B1" sqref="B1"/>
      <selection pane="bottomLeft" activeCell="A6" sqref="A6"/>
      <selection pane="bottomRight" activeCell="C7" sqref="C7:K50"/>
    </sheetView>
  </sheetViews>
  <sheetFormatPr defaultColWidth="9.140625" defaultRowHeight="15.75" x14ac:dyDescent="0.2"/>
  <cols>
    <col min="1" max="1" width="8.85546875" style="69" customWidth="1"/>
    <col min="2" max="2" width="20.5703125" style="69" customWidth="1"/>
    <col min="3" max="3" width="18.28515625" style="69" customWidth="1"/>
    <col min="4" max="4" width="15.85546875" style="69" customWidth="1"/>
    <col min="5" max="5" width="15.7109375" style="69" customWidth="1"/>
    <col min="6" max="6" width="14.5703125" style="69" customWidth="1"/>
    <col min="7" max="7" width="18.7109375" style="69" customWidth="1"/>
    <col min="8" max="8" width="20.28515625" style="69" customWidth="1"/>
    <col min="9" max="9" width="18" style="69" customWidth="1"/>
    <col min="10" max="10" width="17.7109375" style="69" customWidth="1"/>
    <col min="11" max="11" width="20" style="69" customWidth="1"/>
    <col min="12" max="12" width="15.42578125" style="69" customWidth="1"/>
    <col min="13" max="13" width="17.7109375" style="69" customWidth="1"/>
    <col min="14" max="16384" width="9.140625" style="69"/>
  </cols>
  <sheetData>
    <row r="1" spans="1:13" s="67" customFormat="1" ht="35.1" customHeight="1" thickBot="1" x14ac:dyDescent="0.25">
      <c r="A1" s="1126" t="s">
        <v>1025</v>
      </c>
      <c r="B1" s="1127"/>
      <c r="C1" s="1127"/>
      <c r="D1" s="1127"/>
      <c r="E1" s="1127"/>
      <c r="F1" s="1127"/>
      <c r="G1" s="1127"/>
      <c r="H1" s="1127"/>
      <c r="I1" s="1127"/>
      <c r="J1" s="1127"/>
      <c r="K1" s="1127"/>
      <c r="L1" s="1127"/>
      <c r="M1" s="1128"/>
    </row>
    <row r="2" spans="1:13" s="67" customFormat="1" ht="42.75" customHeight="1" x14ac:dyDescent="0.2">
      <c r="A2" s="954" t="s">
        <v>369</v>
      </c>
      <c r="B2" s="955"/>
      <c r="C2" s="955"/>
      <c r="D2" s="955"/>
      <c r="E2" s="955"/>
      <c r="F2" s="955"/>
      <c r="G2" s="955"/>
      <c r="H2" s="955"/>
      <c r="I2" s="955"/>
      <c r="J2" s="955"/>
      <c r="K2" s="955"/>
      <c r="L2" s="955"/>
      <c r="M2" s="956"/>
    </row>
    <row r="3" spans="1:13" s="67" customFormat="1" ht="45.75" customHeight="1" x14ac:dyDescent="0.2">
      <c r="A3" s="1122" t="s">
        <v>180</v>
      </c>
      <c r="B3" s="1124" t="s">
        <v>952</v>
      </c>
      <c r="C3" s="1124"/>
      <c r="D3" s="1124"/>
      <c r="E3" s="1124"/>
      <c r="F3" s="1124"/>
      <c r="G3" s="1124"/>
      <c r="H3" s="1124" t="s">
        <v>1026</v>
      </c>
      <c r="I3" s="1124"/>
      <c r="J3" s="1124"/>
      <c r="K3" s="1124"/>
      <c r="L3" s="1124"/>
      <c r="M3" s="1125"/>
    </row>
    <row r="4" spans="1:13" s="68" customFormat="1" ht="171.75" customHeight="1" x14ac:dyDescent="0.2">
      <c r="A4" s="1123"/>
      <c r="B4" s="277" t="s">
        <v>747</v>
      </c>
      <c r="C4" s="277" t="s">
        <v>748</v>
      </c>
      <c r="D4" s="277" t="s">
        <v>203</v>
      </c>
      <c r="E4" s="277" t="s">
        <v>71</v>
      </c>
      <c r="F4" s="277" t="s">
        <v>72</v>
      </c>
      <c r="G4" s="277" t="s">
        <v>178</v>
      </c>
      <c r="H4" s="277" t="s">
        <v>747</v>
      </c>
      <c r="I4" s="277" t="s">
        <v>748</v>
      </c>
      <c r="J4" s="277" t="s">
        <v>203</v>
      </c>
      <c r="K4" s="277" t="s">
        <v>71</v>
      </c>
      <c r="L4" s="94" t="s">
        <v>72</v>
      </c>
      <c r="M4" s="96" t="s">
        <v>178</v>
      </c>
    </row>
    <row r="5" spans="1:13" x14ac:dyDescent="0.2">
      <c r="A5" s="97"/>
      <c r="B5" s="95" t="s">
        <v>257</v>
      </c>
      <c r="C5" s="95" t="s">
        <v>258</v>
      </c>
      <c r="D5" s="95" t="s">
        <v>259</v>
      </c>
      <c r="E5" s="95" t="s">
        <v>266</v>
      </c>
      <c r="F5" s="95" t="s">
        <v>260</v>
      </c>
      <c r="G5" s="95" t="s">
        <v>683</v>
      </c>
      <c r="H5" s="95" t="s">
        <v>262</v>
      </c>
      <c r="I5" s="95" t="s">
        <v>263</v>
      </c>
      <c r="J5" s="95" t="s">
        <v>264</v>
      </c>
      <c r="K5" s="95" t="s">
        <v>684</v>
      </c>
      <c r="L5" s="201" t="s">
        <v>685</v>
      </c>
      <c r="M5" s="98" t="s">
        <v>846</v>
      </c>
    </row>
    <row r="6" spans="1:13" ht="36" customHeight="1" thickBot="1" x14ac:dyDescent="0.25">
      <c r="A6" s="99">
        <v>1</v>
      </c>
      <c r="B6" s="202">
        <v>33045968.66</v>
      </c>
      <c r="C6" s="202">
        <v>78893707.409999996</v>
      </c>
      <c r="D6" s="202">
        <v>14700588.32</v>
      </c>
      <c r="E6" s="202">
        <v>4230362.49</v>
      </c>
      <c r="F6" s="202">
        <v>2241745.06</v>
      </c>
      <c r="G6" s="203">
        <f>SUM(B6:F6)</f>
        <v>133112371.93999998</v>
      </c>
      <c r="H6" s="202">
        <v>37457449.689999998</v>
      </c>
      <c r="I6" s="202">
        <v>67747283.200000003</v>
      </c>
      <c r="J6" s="202">
        <v>16242786.42</v>
      </c>
      <c r="K6" s="202">
        <v>5549350.2000000002</v>
      </c>
      <c r="L6" s="202">
        <v>1085580.3999999999</v>
      </c>
      <c r="M6" s="204">
        <f>SUM(H6:L6)</f>
        <v>128082449.91000001</v>
      </c>
    </row>
    <row r="7" spans="1:13" x14ac:dyDescent="0.2">
      <c r="H7" s="477"/>
      <c r="I7" s="477"/>
    </row>
    <row r="9" spans="1:13" ht="15.75" customHeight="1" x14ac:dyDescent="0.2">
      <c r="B9" s="369" t="s">
        <v>826</v>
      </c>
      <c r="C9" s="369"/>
      <c r="F9" s="477"/>
      <c r="G9" s="477"/>
    </row>
    <row r="10" spans="1:13" x14ac:dyDescent="0.2">
      <c r="F10" s="477"/>
      <c r="G10" s="477"/>
    </row>
    <row r="11" spans="1:13" x14ac:dyDescent="0.2">
      <c r="B11" s="369" t="s">
        <v>699</v>
      </c>
      <c r="C11" s="369"/>
      <c r="F11" s="477"/>
      <c r="G11" s="477"/>
      <c r="H11" s="729"/>
    </row>
  </sheetData>
  <mergeCells count="5">
    <mergeCell ref="A3:A4"/>
    <mergeCell ref="B3:G3"/>
    <mergeCell ref="H3:M3"/>
    <mergeCell ref="A1:M1"/>
    <mergeCell ref="A2:M2"/>
  </mergeCells>
  <phoneticPr fontId="26" type="noConversion"/>
  <pageMargins left="0.4" right="0.27" top="0.98425196850393704" bottom="0.98425196850393704" header="0.51181102362204722" footer="0.51181102362204722"/>
  <pageSetup paperSize="9" scale="6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7"/>
  <sheetViews>
    <sheetView zoomScale="90" zoomScaleNormal="90" workbookViewId="0">
      <pane xSplit="3" ySplit="3" topLeftCell="D4" activePane="bottomRight" state="frozen"/>
      <selection pane="topRight" activeCell="D1" sqref="D1"/>
      <selection pane="bottomLeft" activeCell="A4" sqref="A4"/>
      <selection pane="bottomRight" activeCell="M48" sqref="M48"/>
    </sheetView>
  </sheetViews>
  <sheetFormatPr defaultColWidth="9.140625" defaultRowHeight="15.75" x14ac:dyDescent="0.2"/>
  <cols>
    <col min="1" max="1" width="7.28515625" style="848" customWidth="1"/>
    <col min="2" max="2" width="39.85546875" style="848" customWidth="1"/>
    <col min="3" max="3" width="9.42578125" style="848" customWidth="1"/>
    <col min="4" max="4" width="21.5703125" style="848" customWidth="1"/>
    <col min="5" max="5" width="19.140625" style="848" customWidth="1"/>
    <col min="6" max="6" width="15.42578125" style="848" customWidth="1"/>
    <col min="7" max="7" width="27.28515625" style="848" customWidth="1"/>
    <col min="8" max="8" width="11.28515625" style="848" bestFit="1" customWidth="1"/>
    <col min="9" max="16384" width="9.140625" style="848"/>
  </cols>
  <sheetData>
    <row r="1" spans="1:7" ht="66.75" customHeight="1" thickBot="1" x14ac:dyDescent="0.25">
      <c r="A1" s="1129" t="s">
        <v>1027</v>
      </c>
      <c r="B1" s="1130"/>
      <c r="C1" s="1130"/>
      <c r="D1" s="1130"/>
      <c r="E1" s="1130"/>
      <c r="F1" s="1131"/>
    </row>
    <row r="2" spans="1:7" ht="36.75" customHeight="1" thickBot="1" x14ac:dyDescent="0.25">
      <c r="A2" s="1132" t="s">
        <v>363</v>
      </c>
      <c r="B2" s="1133"/>
      <c r="C2" s="1133"/>
      <c r="D2" s="1133"/>
      <c r="E2" s="1133"/>
      <c r="F2" s="1134"/>
    </row>
    <row r="3" spans="1:7" s="853" customFormat="1" ht="69" customHeight="1" thickBot="1" x14ac:dyDescent="0.25">
      <c r="A3" s="849" t="s">
        <v>510</v>
      </c>
      <c r="B3" s="849" t="s">
        <v>379</v>
      </c>
      <c r="C3" s="850" t="s">
        <v>180</v>
      </c>
      <c r="D3" s="850" t="s">
        <v>1032</v>
      </c>
      <c r="E3" s="851" t="s">
        <v>1033</v>
      </c>
      <c r="F3" s="852" t="s">
        <v>994</v>
      </c>
      <c r="G3" s="848"/>
    </row>
    <row r="4" spans="1:7" s="853" customFormat="1" x14ac:dyDescent="0.2">
      <c r="A4" s="854"/>
      <c r="B4" s="855"/>
      <c r="C4" s="856"/>
      <c r="D4" s="856" t="s">
        <v>257</v>
      </c>
      <c r="E4" s="856" t="s">
        <v>258</v>
      </c>
      <c r="F4" s="857" t="s">
        <v>259</v>
      </c>
      <c r="G4" s="848"/>
    </row>
    <row r="5" spans="1:7" s="835" customFormat="1" x14ac:dyDescent="0.25">
      <c r="A5" s="836">
        <v>601</v>
      </c>
      <c r="B5" s="837" t="s">
        <v>584</v>
      </c>
      <c r="C5" s="838" t="s">
        <v>585</v>
      </c>
      <c r="D5" s="621"/>
      <c r="E5" s="858"/>
      <c r="F5" s="812">
        <f>E5-D5</f>
        <v>0</v>
      </c>
      <c r="G5" s="848"/>
    </row>
    <row r="6" spans="1:7" s="835" customFormat="1" x14ac:dyDescent="0.25">
      <c r="A6" s="839">
        <v>602</v>
      </c>
      <c r="B6" s="840" t="s">
        <v>586</v>
      </c>
      <c r="C6" s="841" t="s">
        <v>587</v>
      </c>
      <c r="D6" s="622">
        <v>4873055.8899999997</v>
      </c>
      <c r="E6" s="859">
        <f>3993761.23+763709.05</f>
        <v>4757470.28</v>
      </c>
      <c r="F6" s="812">
        <f t="shared" ref="F6:F39" si="0">E6-D6</f>
        <v>-115585.6099999994</v>
      </c>
      <c r="G6" s="848"/>
    </row>
    <row r="7" spans="1:7" s="835" customFormat="1" x14ac:dyDescent="0.25">
      <c r="A7" s="839">
        <v>604</v>
      </c>
      <c r="B7" s="842" t="s">
        <v>588</v>
      </c>
      <c r="C7" s="841" t="s">
        <v>589</v>
      </c>
      <c r="D7" s="622">
        <v>88307.04</v>
      </c>
      <c r="E7" s="859">
        <f>1077.91+81330.22</f>
        <v>82408.13</v>
      </c>
      <c r="F7" s="812">
        <f t="shared" si="0"/>
        <v>-5898.9099999999889</v>
      </c>
      <c r="G7" s="848"/>
    </row>
    <row r="8" spans="1:7" s="835" customFormat="1" x14ac:dyDescent="0.25">
      <c r="A8" s="839">
        <v>611</v>
      </c>
      <c r="B8" s="840" t="s">
        <v>590</v>
      </c>
      <c r="C8" s="841" t="s">
        <v>591</v>
      </c>
      <c r="D8" s="622"/>
      <c r="E8" s="859"/>
      <c r="F8" s="812">
        <f t="shared" si="0"/>
        <v>0</v>
      </c>
      <c r="G8" s="848"/>
    </row>
    <row r="9" spans="1:7" s="835" customFormat="1" x14ac:dyDescent="0.25">
      <c r="A9" s="839">
        <v>612</v>
      </c>
      <c r="B9" s="840" t="s">
        <v>592</v>
      </c>
      <c r="C9" s="841" t="s">
        <v>593</v>
      </c>
      <c r="D9" s="622"/>
      <c r="E9" s="859"/>
      <c r="F9" s="812">
        <f t="shared" si="0"/>
        <v>0</v>
      </c>
      <c r="G9" s="848"/>
    </row>
    <row r="10" spans="1:7" s="835" customFormat="1" x14ac:dyDescent="0.25">
      <c r="A10" s="839">
        <v>613</v>
      </c>
      <c r="B10" s="840" t="s">
        <v>594</v>
      </c>
      <c r="C10" s="841" t="s">
        <v>595</v>
      </c>
      <c r="D10" s="622"/>
      <c r="E10" s="859"/>
      <c r="F10" s="812">
        <f t="shared" si="0"/>
        <v>0</v>
      </c>
      <c r="G10" s="848"/>
    </row>
    <row r="11" spans="1:7" s="835" customFormat="1" x14ac:dyDescent="0.25">
      <c r="A11" s="839">
        <v>614</v>
      </c>
      <c r="B11" s="840" t="s">
        <v>596</v>
      </c>
      <c r="C11" s="841" t="s">
        <v>597</v>
      </c>
      <c r="D11" s="622"/>
      <c r="E11" s="859"/>
      <c r="F11" s="812">
        <f t="shared" si="0"/>
        <v>0</v>
      </c>
      <c r="G11" s="848"/>
    </row>
    <row r="12" spans="1:7" s="835" customFormat="1" x14ac:dyDescent="0.25">
      <c r="A12" s="839">
        <v>621</v>
      </c>
      <c r="B12" s="840" t="s">
        <v>598</v>
      </c>
      <c r="C12" s="841" t="s">
        <v>599</v>
      </c>
      <c r="D12" s="622"/>
      <c r="E12" s="861">
        <v>3273</v>
      </c>
      <c r="F12" s="812">
        <f t="shared" si="0"/>
        <v>3273</v>
      </c>
      <c r="G12" s="848"/>
    </row>
    <row r="13" spans="1:7" s="835" customFormat="1" x14ac:dyDescent="0.25">
      <c r="A13" s="839">
        <v>622</v>
      </c>
      <c r="B13" s="840" t="s">
        <v>600</v>
      </c>
      <c r="C13" s="841" t="s">
        <v>601</v>
      </c>
      <c r="D13" s="622"/>
      <c r="E13" s="859"/>
      <c r="F13" s="812">
        <f t="shared" si="0"/>
        <v>0</v>
      </c>
      <c r="G13" s="848"/>
    </row>
    <row r="14" spans="1:7" s="835" customFormat="1" x14ac:dyDescent="0.25">
      <c r="A14" s="839">
        <v>623</v>
      </c>
      <c r="B14" s="840" t="s">
        <v>602</v>
      </c>
      <c r="C14" s="841" t="s">
        <v>603</v>
      </c>
      <c r="D14" s="622"/>
      <c r="E14" s="859"/>
      <c r="F14" s="812">
        <f t="shared" si="0"/>
        <v>0</v>
      </c>
    </row>
    <row r="15" spans="1:7" s="835" customFormat="1" x14ac:dyDescent="0.25">
      <c r="A15" s="839">
        <v>624</v>
      </c>
      <c r="B15" s="840" t="s">
        <v>604</v>
      </c>
      <c r="C15" s="841" t="s">
        <v>605</v>
      </c>
      <c r="D15" s="622"/>
      <c r="E15" s="859"/>
      <c r="F15" s="812">
        <f t="shared" si="0"/>
        <v>0</v>
      </c>
    </row>
    <row r="16" spans="1:7" s="835" customFormat="1" x14ac:dyDescent="0.25">
      <c r="A16" s="839">
        <v>641</v>
      </c>
      <c r="B16" s="840" t="s">
        <v>541</v>
      </c>
      <c r="C16" s="841" t="s">
        <v>606</v>
      </c>
      <c r="D16" s="622">
        <v>739.89</v>
      </c>
      <c r="E16" s="859">
        <v>20848.240000000002</v>
      </c>
      <c r="F16" s="812">
        <f t="shared" si="0"/>
        <v>20108.350000000002</v>
      </c>
    </row>
    <row r="17" spans="1:18" s="835" customFormat="1" x14ac:dyDescent="0.25">
      <c r="A17" s="839">
        <v>642</v>
      </c>
      <c r="B17" s="840" t="s">
        <v>543</v>
      </c>
      <c r="C17" s="841" t="s">
        <v>607</v>
      </c>
      <c r="D17" s="622">
        <v>10420.379999999999</v>
      </c>
      <c r="E17" s="859">
        <v>7097.32</v>
      </c>
      <c r="F17" s="812">
        <f t="shared" si="0"/>
        <v>-3323.0599999999995</v>
      </c>
    </row>
    <row r="18" spans="1:18" s="835" customFormat="1" x14ac:dyDescent="0.25">
      <c r="A18" s="839">
        <v>643</v>
      </c>
      <c r="B18" s="840" t="s">
        <v>608</v>
      </c>
      <c r="C18" s="841" t="s">
        <v>609</v>
      </c>
      <c r="D18" s="622"/>
      <c r="E18" s="859"/>
      <c r="F18" s="812">
        <f t="shared" si="0"/>
        <v>0</v>
      </c>
    </row>
    <row r="19" spans="1:18" s="835" customFormat="1" x14ac:dyDescent="0.25">
      <c r="A19" s="839">
        <v>644</v>
      </c>
      <c r="B19" s="840" t="s">
        <v>547</v>
      </c>
      <c r="C19" s="841" t="s">
        <v>610</v>
      </c>
      <c r="D19" s="622">
        <v>82.23</v>
      </c>
      <c r="E19" s="859">
        <f>181.94+3.83</f>
        <v>185.77</v>
      </c>
      <c r="F19" s="812">
        <f t="shared" si="0"/>
        <v>103.54</v>
      </c>
    </row>
    <row r="20" spans="1:18" s="835" customFormat="1" x14ac:dyDescent="0.25">
      <c r="A20" s="839">
        <v>645</v>
      </c>
      <c r="B20" s="840" t="s">
        <v>611</v>
      </c>
      <c r="C20" s="841" t="s">
        <v>612</v>
      </c>
      <c r="D20" s="622"/>
      <c r="E20" s="859"/>
      <c r="F20" s="812">
        <f t="shared" si="0"/>
        <v>0</v>
      </c>
    </row>
    <row r="21" spans="1:18" s="835" customFormat="1" x14ac:dyDescent="0.25">
      <c r="A21" s="839">
        <v>646</v>
      </c>
      <c r="B21" s="840" t="s">
        <v>613</v>
      </c>
      <c r="C21" s="841" t="s">
        <v>614</v>
      </c>
      <c r="D21" s="622"/>
      <c r="E21" s="859"/>
      <c r="F21" s="812">
        <f t="shared" si="0"/>
        <v>0</v>
      </c>
    </row>
    <row r="22" spans="1:18" s="835" customFormat="1" x14ac:dyDescent="0.25">
      <c r="A22" s="839">
        <v>647</v>
      </c>
      <c r="B22" s="840" t="s">
        <v>615</v>
      </c>
      <c r="C22" s="841" t="s">
        <v>616</v>
      </c>
      <c r="D22" s="622"/>
      <c r="E22" s="859"/>
      <c r="F22" s="812">
        <f t="shared" si="0"/>
        <v>0</v>
      </c>
    </row>
    <row r="23" spans="1:18" s="835" customFormat="1" x14ac:dyDescent="0.25">
      <c r="A23" s="839">
        <v>648</v>
      </c>
      <c r="B23" s="843" t="s">
        <v>1028</v>
      </c>
      <c r="C23" s="841" t="s">
        <v>617</v>
      </c>
      <c r="D23" s="622">
        <v>193447.24</v>
      </c>
      <c r="E23" s="866">
        <v>203869.97</v>
      </c>
      <c r="F23" s="812">
        <f t="shared" si="0"/>
        <v>10422.73000000001</v>
      </c>
      <c r="G23" s="872"/>
      <c r="H23" s="873"/>
      <c r="L23" s="873"/>
    </row>
    <row r="24" spans="1:18" s="835" customFormat="1" x14ac:dyDescent="0.25">
      <c r="A24" s="839">
        <v>649</v>
      </c>
      <c r="B24" s="840" t="s">
        <v>618</v>
      </c>
      <c r="C24" s="841" t="s">
        <v>619</v>
      </c>
      <c r="D24" s="622">
        <v>0</v>
      </c>
      <c r="E24" s="866">
        <v>33675.53</v>
      </c>
      <c r="F24" s="812">
        <f t="shared" si="0"/>
        <v>33675.53</v>
      </c>
      <c r="H24" s="865"/>
    </row>
    <row r="25" spans="1:18" s="835" customFormat="1" x14ac:dyDescent="0.25">
      <c r="A25" s="839">
        <v>651</v>
      </c>
      <c r="B25" s="840" t="s">
        <v>620</v>
      </c>
      <c r="C25" s="841" t="s">
        <v>621</v>
      </c>
      <c r="D25" s="622"/>
      <c r="E25" s="859"/>
      <c r="F25" s="812">
        <f t="shared" si="0"/>
        <v>0</v>
      </c>
    </row>
    <row r="26" spans="1:18" s="835" customFormat="1" x14ac:dyDescent="0.25">
      <c r="A26" s="839">
        <v>652</v>
      </c>
      <c r="B26" s="840" t="s">
        <v>622</v>
      </c>
      <c r="C26" s="841" t="s">
        <v>623</v>
      </c>
      <c r="D26" s="622"/>
      <c r="E26" s="859"/>
      <c r="F26" s="812">
        <f t="shared" si="0"/>
        <v>0</v>
      </c>
      <c r="I26" s="870"/>
      <c r="J26" s="868"/>
      <c r="K26" s="869"/>
      <c r="L26" s="870"/>
      <c r="M26" s="870"/>
      <c r="N26" s="870"/>
      <c r="O26" s="870"/>
      <c r="P26" s="870"/>
      <c r="Q26" s="870"/>
      <c r="R26" s="870"/>
    </row>
    <row r="27" spans="1:18" s="835" customFormat="1" x14ac:dyDescent="0.25">
      <c r="A27" s="839">
        <v>653</v>
      </c>
      <c r="B27" s="840" t="s">
        <v>624</v>
      </c>
      <c r="C27" s="841" t="s">
        <v>625</v>
      </c>
      <c r="D27" s="622"/>
      <c r="E27" s="859"/>
      <c r="F27" s="812">
        <f t="shared" si="0"/>
        <v>0</v>
      </c>
      <c r="I27" s="870"/>
      <c r="J27" s="869"/>
      <c r="K27" s="870"/>
      <c r="L27" s="870"/>
      <c r="M27" s="870"/>
      <c r="N27" s="870"/>
      <c r="O27" s="870"/>
      <c r="P27" s="870"/>
      <c r="Q27" s="870"/>
      <c r="R27" s="870"/>
    </row>
    <row r="28" spans="1:18" s="835" customFormat="1" x14ac:dyDescent="0.25">
      <c r="A28" s="839">
        <v>654</v>
      </c>
      <c r="B28" s="840" t="s">
        <v>626</v>
      </c>
      <c r="C28" s="841" t="s">
        <v>627</v>
      </c>
      <c r="D28" s="622"/>
      <c r="E28" s="859"/>
      <c r="F28" s="812">
        <f t="shared" si="0"/>
        <v>0</v>
      </c>
      <c r="I28" s="870"/>
      <c r="J28" s="870"/>
      <c r="K28" s="870"/>
      <c r="L28" s="870"/>
      <c r="M28" s="870"/>
      <c r="N28" s="870"/>
      <c r="O28" s="870"/>
      <c r="P28" s="870"/>
      <c r="Q28" s="870"/>
      <c r="R28" s="870"/>
    </row>
    <row r="29" spans="1:18" s="835" customFormat="1" x14ac:dyDescent="0.25">
      <c r="A29" s="839">
        <v>655</v>
      </c>
      <c r="B29" s="840" t="s">
        <v>628</v>
      </c>
      <c r="C29" s="841" t="s">
        <v>629</v>
      </c>
      <c r="D29" s="622"/>
      <c r="E29" s="859"/>
      <c r="F29" s="812">
        <f t="shared" si="0"/>
        <v>0</v>
      </c>
      <c r="I29" s="870"/>
      <c r="J29" s="870"/>
      <c r="K29" s="870"/>
      <c r="L29" s="870"/>
      <c r="M29" s="870"/>
      <c r="N29" s="870"/>
      <c r="O29" s="870"/>
      <c r="P29" s="870"/>
      <c r="Q29" s="870"/>
      <c r="R29" s="870"/>
    </row>
    <row r="30" spans="1:18" s="835" customFormat="1" x14ac:dyDescent="0.25">
      <c r="A30" s="844">
        <v>656</v>
      </c>
      <c r="B30" s="840" t="s">
        <v>630</v>
      </c>
      <c r="C30" s="841" t="s">
        <v>631</v>
      </c>
      <c r="D30" s="622">
        <v>235118.28</v>
      </c>
      <c r="E30" s="866">
        <v>352561.55</v>
      </c>
      <c r="F30" s="812">
        <f t="shared" si="0"/>
        <v>117443.26999999999</v>
      </c>
      <c r="G30" s="867"/>
    </row>
    <row r="31" spans="1:18" s="835" customFormat="1" x14ac:dyDescent="0.25">
      <c r="A31" s="844">
        <v>657</v>
      </c>
      <c r="B31" s="840" t="s">
        <v>632</v>
      </c>
      <c r="C31" s="841" t="s">
        <v>633</v>
      </c>
      <c r="D31" s="622"/>
      <c r="E31" s="859"/>
      <c r="F31" s="812">
        <f t="shared" si="0"/>
        <v>0</v>
      </c>
    </row>
    <row r="32" spans="1:18" s="835" customFormat="1" x14ac:dyDescent="0.25">
      <c r="A32" s="844">
        <v>658</v>
      </c>
      <c r="B32" s="840" t="s">
        <v>634</v>
      </c>
      <c r="C32" s="841" t="s">
        <v>635</v>
      </c>
      <c r="D32" s="622">
        <v>112241.45</v>
      </c>
      <c r="E32" s="859">
        <v>8951.52</v>
      </c>
      <c r="F32" s="812">
        <f t="shared" si="0"/>
        <v>-103289.93</v>
      </c>
    </row>
    <row r="33" spans="1:8" s="835" customFormat="1" x14ac:dyDescent="0.25">
      <c r="A33" s="844">
        <v>661</v>
      </c>
      <c r="B33" s="840" t="s">
        <v>636</v>
      </c>
      <c r="C33" s="841" t="s">
        <v>637</v>
      </c>
      <c r="D33" s="622"/>
      <c r="E33" s="859"/>
      <c r="F33" s="812">
        <f t="shared" si="0"/>
        <v>0</v>
      </c>
    </row>
    <row r="34" spans="1:8" s="835" customFormat="1" x14ac:dyDescent="0.25">
      <c r="A34" s="844">
        <v>662</v>
      </c>
      <c r="B34" s="840" t="s">
        <v>638</v>
      </c>
      <c r="C34" s="841" t="s">
        <v>639</v>
      </c>
      <c r="D34" s="622"/>
      <c r="E34" s="859"/>
      <c r="F34" s="812">
        <f t="shared" si="0"/>
        <v>0</v>
      </c>
    </row>
    <row r="35" spans="1:8" s="835" customFormat="1" x14ac:dyDescent="0.25">
      <c r="A35" s="844">
        <v>663</v>
      </c>
      <c r="B35" s="840" t="s">
        <v>640</v>
      </c>
      <c r="C35" s="841" t="s">
        <v>641</v>
      </c>
      <c r="D35" s="622"/>
      <c r="E35" s="859"/>
      <c r="F35" s="812">
        <f t="shared" si="0"/>
        <v>0</v>
      </c>
    </row>
    <row r="36" spans="1:8" s="835" customFormat="1" x14ac:dyDescent="0.25">
      <c r="A36" s="844">
        <v>664</v>
      </c>
      <c r="B36" s="840" t="s">
        <v>642</v>
      </c>
      <c r="C36" s="841" t="s">
        <v>643</v>
      </c>
      <c r="D36" s="623"/>
      <c r="E36" s="860"/>
      <c r="F36" s="812">
        <f t="shared" si="0"/>
        <v>0</v>
      </c>
      <c r="G36" s="848"/>
    </row>
    <row r="37" spans="1:8" s="835" customFormat="1" x14ac:dyDescent="0.25">
      <c r="A37" s="844">
        <v>665</v>
      </c>
      <c r="B37" s="840" t="s">
        <v>644</v>
      </c>
      <c r="C37" s="841" t="s">
        <v>645</v>
      </c>
      <c r="D37" s="623"/>
      <c r="E37" s="860"/>
      <c r="F37" s="812">
        <f t="shared" si="0"/>
        <v>0</v>
      </c>
      <c r="G37" s="848"/>
    </row>
    <row r="38" spans="1:8" x14ac:dyDescent="0.25">
      <c r="A38" s="844">
        <v>667</v>
      </c>
      <c r="B38" s="840" t="s">
        <v>646</v>
      </c>
      <c r="C38" s="841" t="s">
        <v>647</v>
      </c>
      <c r="D38" s="623"/>
      <c r="E38" s="860"/>
      <c r="F38" s="812">
        <f t="shared" si="0"/>
        <v>0</v>
      </c>
    </row>
    <row r="39" spans="1:8" x14ac:dyDescent="0.25">
      <c r="A39" s="844">
        <v>691</v>
      </c>
      <c r="B39" s="840" t="s">
        <v>648</v>
      </c>
      <c r="C39" s="841" t="s">
        <v>649</v>
      </c>
      <c r="D39" s="623">
        <v>3417018.29</v>
      </c>
      <c r="E39" s="860">
        <v>3638098.83</v>
      </c>
      <c r="F39" s="812">
        <f t="shared" si="0"/>
        <v>221080.54000000004</v>
      </c>
    </row>
    <row r="40" spans="1:8" x14ac:dyDescent="0.2">
      <c r="A40" s="1135" t="s">
        <v>650</v>
      </c>
      <c r="B40" s="1136"/>
      <c r="C40" s="845" t="s">
        <v>651</v>
      </c>
      <c r="D40" s="624">
        <f>SUM(D5:D39)</f>
        <v>8930430.6900000013</v>
      </c>
      <c r="E40" s="630">
        <f>SUM(E5:E39)</f>
        <v>9108440.1400000006</v>
      </c>
      <c r="F40" s="812">
        <f>SUM(F5:F39)</f>
        <v>178009.45000000065</v>
      </c>
      <c r="H40" s="864"/>
    </row>
    <row r="41" spans="1:8" x14ac:dyDescent="0.2">
      <c r="A41" s="1137" t="s">
        <v>652</v>
      </c>
      <c r="B41" s="1138"/>
      <c r="C41" s="846" t="s">
        <v>653</v>
      </c>
      <c r="D41" s="625">
        <f>D40-T23_Náklady_soc_oblasť!D42</f>
        <v>1120995.370000002</v>
      </c>
      <c r="E41" s="625">
        <f>E40-T23_Náklady_soc_oblasť!E42</f>
        <v>574091.53999999911</v>
      </c>
      <c r="F41" s="812">
        <f>F40-T23_Náklady_soc_oblasť!F42</f>
        <v>-546903.82999999961</v>
      </c>
    </row>
    <row r="42" spans="1:8" x14ac:dyDescent="0.25">
      <c r="A42" s="844">
        <v>591</v>
      </c>
      <c r="B42" s="840" t="s">
        <v>654</v>
      </c>
      <c r="C42" s="841" t="s">
        <v>655</v>
      </c>
      <c r="D42" s="622"/>
      <c r="E42" s="859"/>
      <c r="F42" s="812">
        <f>E42-D42</f>
        <v>0</v>
      </c>
    </row>
    <row r="43" spans="1:8" ht="16.5" thickBot="1" x14ac:dyDescent="0.3">
      <c r="A43" s="844">
        <v>595</v>
      </c>
      <c r="B43" s="840" t="s">
        <v>656</v>
      </c>
      <c r="C43" s="841" t="s">
        <v>657</v>
      </c>
      <c r="D43" s="623"/>
      <c r="E43" s="859"/>
      <c r="F43" s="812">
        <f>E43-D43</f>
        <v>0</v>
      </c>
    </row>
    <row r="44" spans="1:8" ht="16.5" thickBot="1" x14ac:dyDescent="0.25">
      <c r="A44" s="1139" t="s">
        <v>658</v>
      </c>
      <c r="B44" s="1140"/>
      <c r="C44" s="847" t="s">
        <v>659</v>
      </c>
      <c r="D44" s="626">
        <v>1120995.370000002</v>
      </c>
      <c r="E44" s="631">
        <f>E40-T23_Náklady_soc_oblasť!E42</f>
        <v>574091.53999999911</v>
      </c>
      <c r="F44" s="813">
        <v>-761419.96000000369</v>
      </c>
    </row>
    <row r="46" spans="1:8" x14ac:dyDescent="0.2">
      <c r="E46" s="864"/>
    </row>
    <row r="47" spans="1:8" x14ac:dyDescent="0.2">
      <c r="E47" s="864"/>
    </row>
  </sheetData>
  <mergeCells count="5">
    <mergeCell ref="A1:F1"/>
    <mergeCell ref="A2:F2"/>
    <mergeCell ref="A40:B40"/>
    <mergeCell ref="A41:B41"/>
    <mergeCell ref="A44:B44"/>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83"/>
  <sheetViews>
    <sheetView zoomScale="85" zoomScaleNormal="85" workbookViewId="0">
      <pane xSplit="3" ySplit="3" topLeftCell="D4" activePane="bottomRight" state="frozen"/>
      <selection pane="topRight" activeCell="D1" sqref="D1"/>
      <selection pane="bottomLeft" activeCell="A4" sqref="A4"/>
      <selection pane="bottomRight" activeCell="G10" sqref="G10"/>
    </sheetView>
  </sheetViews>
  <sheetFormatPr defaultRowHeight="12.75" x14ac:dyDescent="0.2"/>
  <cols>
    <col min="1" max="1" width="8.28515625" customWidth="1"/>
    <col min="2" max="2" width="42.140625" customWidth="1"/>
    <col min="3" max="3" width="10.140625" customWidth="1"/>
    <col min="4" max="4" width="19.28515625" customWidth="1"/>
    <col min="5" max="5" width="20.28515625" customWidth="1"/>
    <col min="6" max="6" width="16.5703125" customWidth="1"/>
    <col min="7" max="7" width="19.85546875" customWidth="1"/>
    <col min="8" max="8" width="12.42578125" bestFit="1" customWidth="1"/>
  </cols>
  <sheetData>
    <row r="1" spans="1:7" ht="61.5" customHeight="1" thickBot="1" x14ac:dyDescent="0.25">
      <c r="A1" s="1144" t="s">
        <v>1029</v>
      </c>
      <c r="B1" s="1145"/>
      <c r="C1" s="1145"/>
      <c r="D1" s="1145"/>
      <c r="E1" s="1145"/>
      <c r="F1" s="1146"/>
    </row>
    <row r="2" spans="1:7" ht="47.25" customHeight="1" thickBot="1" x14ac:dyDescent="0.25">
      <c r="A2" s="1141" t="s">
        <v>363</v>
      </c>
      <c r="B2" s="1142"/>
      <c r="C2" s="1142"/>
      <c r="D2" s="1142"/>
      <c r="E2" s="1142"/>
      <c r="F2" s="1143"/>
    </row>
    <row r="3" spans="1:7" ht="64.5" customHeight="1" thickBot="1" x14ac:dyDescent="0.25">
      <c r="A3" s="463" t="s">
        <v>510</v>
      </c>
      <c r="B3" s="464" t="s">
        <v>379</v>
      </c>
      <c r="C3" s="465" t="s">
        <v>180</v>
      </c>
      <c r="D3" s="466" t="s">
        <v>953</v>
      </c>
      <c r="E3" s="467" t="s">
        <v>1030</v>
      </c>
      <c r="F3" s="468" t="s">
        <v>1031</v>
      </c>
    </row>
    <row r="4" spans="1:7" ht="18" x14ac:dyDescent="0.2">
      <c r="A4" s="460"/>
      <c r="B4" s="461"/>
      <c r="C4" s="461"/>
      <c r="D4" s="462" t="s">
        <v>257</v>
      </c>
      <c r="E4" s="462" t="s">
        <v>258</v>
      </c>
      <c r="F4" s="895" t="s">
        <v>259</v>
      </c>
      <c r="G4" s="894"/>
    </row>
    <row r="5" spans="1:7" ht="19.5" x14ac:dyDescent="0.25">
      <c r="A5" s="272">
        <v>501</v>
      </c>
      <c r="B5" s="177" t="s">
        <v>511</v>
      </c>
      <c r="C5" s="176" t="s">
        <v>512</v>
      </c>
      <c r="D5" s="621">
        <v>731056.74</v>
      </c>
      <c r="E5" s="627">
        <f>366494.58+306044.92+118281.26</f>
        <v>790820.76</v>
      </c>
      <c r="F5" s="187">
        <f>E5-D5</f>
        <v>59764.020000000019</v>
      </c>
      <c r="G5" s="821"/>
    </row>
    <row r="6" spans="1:7" ht="18" x14ac:dyDescent="0.25">
      <c r="A6" s="271">
        <v>502</v>
      </c>
      <c r="B6" s="178" t="s">
        <v>513</v>
      </c>
      <c r="C6" s="174" t="s">
        <v>514</v>
      </c>
      <c r="D6" s="622">
        <v>1565974.18</v>
      </c>
      <c r="E6" s="628">
        <f>132269.66+1349617.37+63619.92</f>
        <v>1545506.95</v>
      </c>
      <c r="F6" s="319">
        <f t="shared" ref="F6:F41" si="0">E6-D6</f>
        <v>-20467.229999999981</v>
      </c>
      <c r="G6" s="818"/>
    </row>
    <row r="7" spans="1:7" ht="18" x14ac:dyDescent="0.25">
      <c r="A7" s="271">
        <v>504</v>
      </c>
      <c r="B7" s="178" t="s">
        <v>515</v>
      </c>
      <c r="C7" s="174" t="s">
        <v>516</v>
      </c>
      <c r="D7" s="622">
        <v>48918.05</v>
      </c>
      <c r="E7" s="628">
        <f>838.16+43424.02</f>
        <v>44262.18</v>
      </c>
      <c r="F7" s="319">
        <f t="shared" si="0"/>
        <v>-4655.8700000000026</v>
      </c>
      <c r="G7" s="817"/>
    </row>
    <row r="8" spans="1:7" ht="18" x14ac:dyDescent="0.25">
      <c r="A8" s="271">
        <v>511</v>
      </c>
      <c r="B8" s="178" t="s">
        <v>517</v>
      </c>
      <c r="C8" s="174" t="s">
        <v>518</v>
      </c>
      <c r="D8" s="622">
        <v>1005650.63</v>
      </c>
      <c r="E8" s="628">
        <f>240943.31+454645.25+216264.85</f>
        <v>911853.41</v>
      </c>
      <c r="F8" s="319">
        <f t="shared" si="0"/>
        <v>-93797.219999999972</v>
      </c>
      <c r="G8" s="817"/>
    </row>
    <row r="9" spans="1:7" ht="18" x14ac:dyDescent="0.25">
      <c r="A9" s="271">
        <v>512</v>
      </c>
      <c r="B9" s="178" t="s">
        <v>519</v>
      </c>
      <c r="C9" s="174" t="s">
        <v>520</v>
      </c>
      <c r="D9" s="622">
        <v>299.23</v>
      </c>
      <c r="E9" s="628">
        <f>30.3+302.63+130.62</f>
        <v>463.55</v>
      </c>
      <c r="F9" s="319">
        <f t="shared" si="0"/>
        <v>164.32</v>
      </c>
      <c r="G9" s="817"/>
    </row>
    <row r="10" spans="1:7" ht="18" x14ac:dyDescent="0.25">
      <c r="A10" s="271">
        <v>513</v>
      </c>
      <c r="B10" s="178" t="s">
        <v>521</v>
      </c>
      <c r="C10" s="174" t="s">
        <v>522</v>
      </c>
      <c r="D10" s="622">
        <v>1711.95</v>
      </c>
      <c r="E10" s="628">
        <v>3200.47</v>
      </c>
      <c r="F10" s="814">
        <f t="shared" si="0"/>
        <v>1488.5199999999998</v>
      </c>
      <c r="G10" s="818"/>
    </row>
    <row r="11" spans="1:7" ht="18" x14ac:dyDescent="0.25">
      <c r="A11" s="271">
        <v>518</v>
      </c>
      <c r="B11" s="178" t="s">
        <v>523</v>
      </c>
      <c r="C11" s="174" t="s">
        <v>524</v>
      </c>
      <c r="D11" s="622">
        <v>435963.83</v>
      </c>
      <c r="E11" s="628">
        <f>106510.55+288120.49+49278.72</f>
        <v>443909.76</v>
      </c>
      <c r="F11" s="814">
        <f t="shared" si="0"/>
        <v>7945.929999999993</v>
      </c>
      <c r="G11" s="818"/>
    </row>
    <row r="12" spans="1:7" ht="15.75" x14ac:dyDescent="0.25">
      <c r="A12" s="271">
        <v>521</v>
      </c>
      <c r="B12" s="178" t="s">
        <v>525</v>
      </c>
      <c r="C12" s="174" t="s">
        <v>526</v>
      </c>
      <c r="D12" s="622">
        <v>2203389.27</v>
      </c>
      <c r="E12" s="628">
        <f>1972090.73+558025.16+123136.81</f>
        <v>2653252.7000000002</v>
      </c>
      <c r="F12" s="814">
        <f t="shared" si="0"/>
        <v>449863.43000000017</v>
      </c>
      <c r="G12" s="820"/>
    </row>
    <row r="13" spans="1:7" ht="18" x14ac:dyDescent="0.25">
      <c r="A13" s="271">
        <v>524</v>
      </c>
      <c r="B13" s="178" t="s">
        <v>527</v>
      </c>
      <c r="C13" s="174" t="s">
        <v>528</v>
      </c>
      <c r="D13" s="622">
        <v>747121.14</v>
      </c>
      <c r="E13" s="628">
        <f>678630.14+188823.55+41761.71</f>
        <v>909215.39999999991</v>
      </c>
      <c r="F13" s="814">
        <f t="shared" si="0"/>
        <v>162094.25999999989</v>
      </c>
      <c r="G13" s="818"/>
    </row>
    <row r="14" spans="1:7" ht="18" x14ac:dyDescent="0.25">
      <c r="A14" s="271">
        <v>525</v>
      </c>
      <c r="B14" s="178" t="s">
        <v>529</v>
      </c>
      <c r="C14" s="174" t="s">
        <v>530</v>
      </c>
      <c r="D14" s="622">
        <v>17631.810000000001</v>
      </c>
      <c r="E14" s="628">
        <f>16535.01+2909.74+592.83</f>
        <v>20037.580000000002</v>
      </c>
      <c r="F14" s="814">
        <f t="shared" si="0"/>
        <v>2405.7700000000004</v>
      </c>
      <c r="G14" s="818"/>
    </row>
    <row r="15" spans="1:7" ht="18" x14ac:dyDescent="0.25">
      <c r="A15" s="271">
        <v>527</v>
      </c>
      <c r="B15" s="178" t="s">
        <v>531</v>
      </c>
      <c r="C15" s="174" t="s">
        <v>532</v>
      </c>
      <c r="D15" s="622">
        <v>127797.96</v>
      </c>
      <c r="E15" s="628">
        <f>74003.66+85327.96+4263.87</f>
        <v>163595.49</v>
      </c>
      <c r="F15" s="814">
        <f t="shared" si="0"/>
        <v>35797.529999999984</v>
      </c>
      <c r="G15" s="818"/>
    </row>
    <row r="16" spans="1:7" ht="18" x14ac:dyDescent="0.25">
      <c r="A16" s="271">
        <v>528</v>
      </c>
      <c r="B16" s="178" t="s">
        <v>533</v>
      </c>
      <c r="C16" s="174" t="s">
        <v>534</v>
      </c>
      <c r="D16" s="622"/>
      <c r="E16" s="628"/>
      <c r="F16" s="814">
        <f t="shared" si="0"/>
        <v>0</v>
      </c>
      <c r="G16" s="817"/>
    </row>
    <row r="17" spans="1:11" ht="18" x14ac:dyDescent="0.25">
      <c r="A17" s="271">
        <v>531</v>
      </c>
      <c r="B17" s="178" t="s">
        <v>535</v>
      </c>
      <c r="C17" s="174" t="s">
        <v>536</v>
      </c>
      <c r="D17" s="622"/>
      <c r="E17" s="628"/>
      <c r="F17" s="814">
        <f t="shared" si="0"/>
        <v>0</v>
      </c>
      <c r="G17" s="817"/>
    </row>
    <row r="18" spans="1:11" ht="18" x14ac:dyDescent="0.25">
      <c r="A18" s="271">
        <v>532</v>
      </c>
      <c r="B18" s="178" t="s">
        <v>537</v>
      </c>
      <c r="C18" s="174" t="s">
        <v>538</v>
      </c>
      <c r="D18" s="622">
        <v>171391.78</v>
      </c>
      <c r="E18" s="628">
        <f>6959.44+161296.67+3129.42</f>
        <v>171385.53000000003</v>
      </c>
      <c r="F18" s="814">
        <f t="shared" si="0"/>
        <v>-6.2499999999708962</v>
      </c>
      <c r="G18" s="818"/>
      <c r="H18" s="865"/>
    </row>
    <row r="19" spans="1:11" ht="18" x14ac:dyDescent="0.25">
      <c r="A19" s="271">
        <v>538</v>
      </c>
      <c r="B19" s="178" t="s">
        <v>539</v>
      </c>
      <c r="C19" s="174" t="s">
        <v>540</v>
      </c>
      <c r="D19" s="622">
        <v>29424.75</v>
      </c>
      <c r="E19" s="628">
        <f>15258.15+10193.04</f>
        <v>25451.190000000002</v>
      </c>
      <c r="F19" s="814">
        <f t="shared" si="0"/>
        <v>-3973.5599999999977</v>
      </c>
      <c r="G19" s="817"/>
    </row>
    <row r="20" spans="1:11" ht="18" x14ac:dyDescent="0.25">
      <c r="A20" s="271">
        <v>541</v>
      </c>
      <c r="B20" s="178" t="s">
        <v>541</v>
      </c>
      <c r="C20" s="174" t="s">
        <v>542</v>
      </c>
      <c r="D20" s="622"/>
      <c r="E20" s="628">
        <v>10.38</v>
      </c>
      <c r="F20" s="814">
        <f t="shared" si="0"/>
        <v>10.38</v>
      </c>
      <c r="G20" s="817"/>
    </row>
    <row r="21" spans="1:11" ht="18" x14ac:dyDescent="0.25">
      <c r="A21" s="271">
        <v>542</v>
      </c>
      <c r="B21" s="178" t="s">
        <v>543</v>
      </c>
      <c r="C21" s="174" t="s">
        <v>544</v>
      </c>
      <c r="D21" s="622"/>
      <c r="E21" s="628"/>
      <c r="F21" s="814">
        <f t="shared" si="0"/>
        <v>0</v>
      </c>
      <c r="G21" s="817"/>
    </row>
    <row r="22" spans="1:11" ht="18" x14ac:dyDescent="0.25">
      <c r="A22" s="271">
        <v>543</v>
      </c>
      <c r="B22" s="178" t="s">
        <v>545</v>
      </c>
      <c r="C22" s="174" t="s">
        <v>546</v>
      </c>
      <c r="D22" s="622"/>
      <c r="E22" s="628"/>
      <c r="F22" s="814">
        <f t="shared" si="0"/>
        <v>0</v>
      </c>
      <c r="G22" s="817"/>
    </row>
    <row r="23" spans="1:11" ht="18" x14ac:dyDescent="0.25">
      <c r="A23" s="271">
        <v>544</v>
      </c>
      <c r="B23" s="178" t="s">
        <v>547</v>
      </c>
      <c r="C23" s="174" t="s">
        <v>548</v>
      </c>
      <c r="D23" s="622"/>
      <c r="E23" s="628"/>
      <c r="F23" s="814">
        <f t="shared" si="0"/>
        <v>0</v>
      </c>
      <c r="G23" s="817"/>
    </row>
    <row r="24" spans="1:11" ht="18" x14ac:dyDescent="0.25">
      <c r="A24" s="271">
        <v>545</v>
      </c>
      <c r="B24" s="178" t="s">
        <v>549</v>
      </c>
      <c r="C24" s="174" t="s">
        <v>550</v>
      </c>
      <c r="D24" s="622"/>
      <c r="E24" s="628"/>
      <c r="F24" s="814">
        <f t="shared" si="0"/>
        <v>0</v>
      </c>
      <c r="G24" s="817"/>
    </row>
    <row r="25" spans="1:11" ht="18" x14ac:dyDescent="0.25">
      <c r="A25" s="271">
        <v>546</v>
      </c>
      <c r="B25" s="178" t="s">
        <v>551</v>
      </c>
      <c r="C25" s="174" t="s">
        <v>552</v>
      </c>
      <c r="D25" s="622"/>
      <c r="E25" s="628"/>
      <c r="F25" s="814">
        <f t="shared" si="0"/>
        <v>0</v>
      </c>
      <c r="G25" s="817"/>
    </row>
    <row r="26" spans="1:11" ht="18" x14ac:dyDescent="0.25">
      <c r="A26" s="271">
        <v>547</v>
      </c>
      <c r="B26" s="178" t="s">
        <v>553</v>
      </c>
      <c r="C26" s="174" t="s">
        <v>554</v>
      </c>
      <c r="D26" s="622"/>
      <c r="E26" s="871"/>
      <c r="F26" s="814">
        <f t="shared" si="0"/>
        <v>0</v>
      </c>
      <c r="G26" s="817"/>
    </row>
    <row r="27" spans="1:11" ht="18" x14ac:dyDescent="0.25">
      <c r="A27" s="271">
        <v>548</v>
      </c>
      <c r="B27" s="178" t="s">
        <v>555</v>
      </c>
      <c r="C27" s="174" t="s">
        <v>556</v>
      </c>
      <c r="D27" s="622">
        <v>77.22</v>
      </c>
      <c r="E27" s="628"/>
      <c r="F27" s="814">
        <f t="shared" si="0"/>
        <v>-77.22</v>
      </c>
      <c r="G27" s="817"/>
    </row>
    <row r="28" spans="1:11" ht="16.5" thickBot="1" x14ac:dyDescent="0.3">
      <c r="A28" s="271">
        <v>549</v>
      </c>
      <c r="B28" s="178" t="s">
        <v>557</v>
      </c>
      <c r="C28" s="174" t="s">
        <v>558</v>
      </c>
      <c r="D28" s="622">
        <v>235118.28</v>
      </c>
      <c r="E28" s="871">
        <v>203869.97</v>
      </c>
      <c r="F28" s="814">
        <f t="shared" si="0"/>
        <v>-31248.309999999998</v>
      </c>
      <c r="G28" s="571"/>
      <c r="H28" s="873"/>
      <c r="I28" s="873"/>
      <c r="J28" s="873"/>
      <c r="K28" s="873"/>
    </row>
    <row r="29" spans="1:11" ht="19.5" x14ac:dyDescent="0.25">
      <c r="A29" s="271">
        <v>551</v>
      </c>
      <c r="B29" s="178" t="s">
        <v>559</v>
      </c>
      <c r="C29" s="174" t="s">
        <v>560</v>
      </c>
      <c r="D29" s="622">
        <v>263387.26</v>
      </c>
      <c r="E29" s="628">
        <f>3996.48+126412.73+134163.72</f>
        <v>264572.93</v>
      </c>
      <c r="F29" s="814">
        <f t="shared" si="0"/>
        <v>1185.6699999999837</v>
      </c>
      <c r="G29" s="824"/>
    </row>
    <row r="30" spans="1:11" ht="18" x14ac:dyDescent="0.25">
      <c r="A30" s="273">
        <v>552</v>
      </c>
      <c r="B30" s="178" t="s">
        <v>689</v>
      </c>
      <c r="C30" s="174" t="s">
        <v>561</v>
      </c>
      <c r="D30" s="622"/>
      <c r="E30" s="628"/>
      <c r="F30" s="814">
        <f t="shared" si="0"/>
        <v>0</v>
      </c>
      <c r="G30" s="825"/>
    </row>
    <row r="31" spans="1:11" ht="18" x14ac:dyDescent="0.25">
      <c r="A31" s="273">
        <v>553</v>
      </c>
      <c r="B31" s="178" t="s">
        <v>562</v>
      </c>
      <c r="C31" s="174" t="s">
        <v>563</v>
      </c>
      <c r="D31" s="622"/>
      <c r="E31" s="628"/>
      <c r="F31" s="814">
        <f t="shared" si="0"/>
        <v>0</v>
      </c>
      <c r="G31" s="825"/>
    </row>
    <row r="32" spans="1:11" ht="18" x14ac:dyDescent="0.25">
      <c r="A32" s="273">
        <v>554</v>
      </c>
      <c r="B32" s="178" t="s">
        <v>564</v>
      </c>
      <c r="C32" s="174" t="s">
        <v>565</v>
      </c>
      <c r="D32" s="622"/>
      <c r="E32" s="628"/>
      <c r="F32" s="814">
        <f t="shared" si="0"/>
        <v>0</v>
      </c>
      <c r="G32" s="825"/>
    </row>
    <row r="33" spans="1:8" ht="18" x14ac:dyDescent="0.25">
      <c r="A33" s="273">
        <v>555</v>
      </c>
      <c r="B33" s="178" t="s">
        <v>566</v>
      </c>
      <c r="C33" s="174" t="s">
        <v>567</v>
      </c>
      <c r="D33" s="622"/>
      <c r="E33" s="628"/>
      <c r="F33" s="814">
        <f t="shared" si="0"/>
        <v>0</v>
      </c>
      <c r="G33" s="825"/>
    </row>
    <row r="34" spans="1:8" ht="15.75" x14ac:dyDescent="0.25">
      <c r="A34" s="273">
        <v>556</v>
      </c>
      <c r="B34" s="178" t="s">
        <v>568</v>
      </c>
      <c r="C34" s="174" t="s">
        <v>569</v>
      </c>
      <c r="D34" s="622">
        <v>193447.24</v>
      </c>
      <c r="E34" s="871">
        <v>352561.55</v>
      </c>
      <c r="F34" s="814">
        <f t="shared" si="0"/>
        <v>159114.31</v>
      </c>
      <c r="G34" s="823"/>
      <c r="H34" s="730"/>
    </row>
    <row r="35" spans="1:8" ht="18" x14ac:dyDescent="0.25">
      <c r="A35" s="273">
        <v>557</v>
      </c>
      <c r="B35" s="178" t="s">
        <v>570</v>
      </c>
      <c r="C35" s="174" t="s">
        <v>571</v>
      </c>
      <c r="D35" s="622"/>
      <c r="E35" s="628"/>
      <c r="F35" s="814">
        <f t="shared" si="0"/>
        <v>0</v>
      </c>
      <c r="G35" s="822"/>
    </row>
    <row r="36" spans="1:8" ht="18" x14ac:dyDescent="0.25">
      <c r="A36" s="273">
        <v>558</v>
      </c>
      <c r="B36" s="178" t="s">
        <v>572</v>
      </c>
      <c r="C36" s="174" t="s">
        <v>573</v>
      </c>
      <c r="D36" s="622"/>
      <c r="E36" s="628">
        <v>-1050.2</v>
      </c>
      <c r="F36" s="814">
        <f t="shared" si="0"/>
        <v>-1050.2</v>
      </c>
      <c r="G36" s="822"/>
    </row>
    <row r="37" spans="1:8" ht="20.25" customHeight="1" x14ac:dyDescent="0.25">
      <c r="A37" s="273">
        <v>561</v>
      </c>
      <c r="B37" s="178" t="s">
        <v>575</v>
      </c>
      <c r="C37" s="174" t="s">
        <v>574</v>
      </c>
      <c r="D37" s="622"/>
      <c r="E37" s="628"/>
      <c r="F37" s="814">
        <f t="shared" si="0"/>
        <v>0</v>
      </c>
      <c r="G37" s="822"/>
    </row>
    <row r="38" spans="1:8" ht="19.5" x14ac:dyDescent="0.25">
      <c r="A38" s="273">
        <v>562</v>
      </c>
      <c r="B38" s="178" t="s">
        <v>577</v>
      </c>
      <c r="C38" s="174" t="s">
        <v>576</v>
      </c>
      <c r="D38" s="622">
        <v>31074</v>
      </c>
      <c r="E38" s="628">
        <f>31429</f>
        <v>31429</v>
      </c>
      <c r="F38" s="814">
        <f t="shared" si="0"/>
        <v>355</v>
      </c>
      <c r="G38" s="821"/>
    </row>
    <row r="39" spans="1:8" ht="18" x14ac:dyDescent="0.25">
      <c r="A39" s="273">
        <v>563</v>
      </c>
      <c r="B39" s="178" t="s">
        <v>579</v>
      </c>
      <c r="C39" s="174" t="s">
        <v>578</v>
      </c>
      <c r="D39" s="622"/>
      <c r="E39" s="628"/>
      <c r="F39" s="814">
        <f t="shared" si="0"/>
        <v>0</v>
      </c>
      <c r="G39" s="817"/>
    </row>
    <row r="40" spans="1:8" ht="18" x14ac:dyDescent="0.25">
      <c r="A40" s="274">
        <v>565</v>
      </c>
      <c r="B40" s="278" t="s">
        <v>688</v>
      </c>
      <c r="C40" s="174" t="s">
        <v>580</v>
      </c>
      <c r="D40" s="623"/>
      <c r="E40" s="629"/>
      <c r="F40" s="814">
        <f t="shared" si="0"/>
        <v>0</v>
      </c>
      <c r="G40" s="817"/>
    </row>
    <row r="41" spans="1:8" ht="18.75" thickBot="1" x14ac:dyDescent="0.3">
      <c r="A41" s="274">
        <v>567</v>
      </c>
      <c r="B41" s="179" t="s">
        <v>581</v>
      </c>
      <c r="C41" s="175" t="s">
        <v>582</v>
      </c>
      <c r="D41" s="623"/>
      <c r="E41" s="629"/>
      <c r="F41" s="815">
        <f t="shared" si="0"/>
        <v>0</v>
      </c>
      <c r="G41" s="817"/>
    </row>
    <row r="42" spans="1:8" ht="24.75" customHeight="1" thickBot="1" x14ac:dyDescent="0.25">
      <c r="A42" s="1147" t="s">
        <v>745</v>
      </c>
      <c r="B42" s="1148"/>
      <c r="C42" s="270" t="s">
        <v>583</v>
      </c>
      <c r="D42" s="632">
        <f>SUM(D5:D41)</f>
        <v>7809435.3199999994</v>
      </c>
      <c r="E42" s="633">
        <f>SUM(E5:E41)</f>
        <v>8534348.6000000015</v>
      </c>
      <c r="F42" s="816">
        <f>SUM(F5:F41)</f>
        <v>724913.28000000026</v>
      </c>
      <c r="G42" s="819"/>
      <c r="H42" s="730"/>
    </row>
    <row r="43" spans="1:8" ht="18" x14ac:dyDescent="0.2">
      <c r="B43" s="164"/>
      <c r="C43" s="164"/>
      <c r="D43" s="164"/>
      <c r="E43" s="164"/>
      <c r="G43" s="819"/>
    </row>
    <row r="44" spans="1:8" x14ac:dyDescent="0.2">
      <c r="E44" s="730"/>
    </row>
    <row r="45" spans="1:8" x14ac:dyDescent="0.2">
      <c r="E45" s="730"/>
    </row>
    <row r="46" spans="1:8" x14ac:dyDescent="0.2">
      <c r="E46" s="730"/>
    </row>
    <row r="47" spans="1:8" x14ac:dyDescent="0.2">
      <c r="E47" s="730"/>
    </row>
    <row r="48" spans="1:8" x14ac:dyDescent="0.2">
      <c r="E48" s="730"/>
    </row>
    <row r="49" spans="5:5" x14ac:dyDescent="0.2">
      <c r="E49" s="730"/>
    </row>
    <row r="50" spans="5:5" x14ac:dyDescent="0.2">
      <c r="E50" s="730"/>
    </row>
    <row r="51" spans="5:5" x14ac:dyDescent="0.2">
      <c r="E51" s="730"/>
    </row>
    <row r="52" spans="5:5" x14ac:dyDescent="0.2">
      <c r="E52" s="730"/>
    </row>
    <row r="53" spans="5:5" x14ac:dyDescent="0.2">
      <c r="E53" s="730"/>
    </row>
    <row r="54" spans="5:5" x14ac:dyDescent="0.2">
      <c r="E54" s="730"/>
    </row>
    <row r="55" spans="5:5" x14ac:dyDescent="0.2">
      <c r="E55" s="730"/>
    </row>
    <row r="56" spans="5:5" x14ac:dyDescent="0.2">
      <c r="E56" s="730"/>
    </row>
    <row r="57" spans="5:5" x14ac:dyDescent="0.2">
      <c r="E57" s="730"/>
    </row>
    <row r="58" spans="5:5" x14ac:dyDescent="0.2">
      <c r="E58" s="730"/>
    </row>
    <row r="59" spans="5:5" x14ac:dyDescent="0.2">
      <c r="E59" s="730"/>
    </row>
    <row r="60" spans="5:5" x14ac:dyDescent="0.2">
      <c r="E60" s="730"/>
    </row>
    <row r="61" spans="5:5" x14ac:dyDescent="0.2">
      <c r="E61" s="730"/>
    </row>
    <row r="62" spans="5:5" x14ac:dyDescent="0.2">
      <c r="E62" s="730"/>
    </row>
    <row r="63" spans="5:5" x14ac:dyDescent="0.2">
      <c r="E63" s="730"/>
    </row>
    <row r="64" spans="5:5" x14ac:dyDescent="0.2">
      <c r="E64" s="730"/>
    </row>
    <row r="65" spans="5:5" x14ac:dyDescent="0.2">
      <c r="E65" s="730"/>
    </row>
    <row r="66" spans="5:5" x14ac:dyDescent="0.2">
      <c r="E66" s="730"/>
    </row>
    <row r="67" spans="5:5" x14ac:dyDescent="0.2">
      <c r="E67" s="730"/>
    </row>
    <row r="68" spans="5:5" x14ac:dyDescent="0.2">
      <c r="E68" s="730"/>
    </row>
    <row r="69" spans="5:5" x14ac:dyDescent="0.2">
      <c r="E69" s="730"/>
    </row>
    <row r="70" spans="5:5" x14ac:dyDescent="0.2">
      <c r="E70" s="730"/>
    </row>
    <row r="71" spans="5:5" x14ac:dyDescent="0.2">
      <c r="E71" s="730"/>
    </row>
    <row r="72" spans="5:5" x14ac:dyDescent="0.2">
      <c r="E72" s="730"/>
    </row>
    <row r="73" spans="5:5" x14ac:dyDescent="0.2">
      <c r="E73" s="730"/>
    </row>
    <row r="74" spans="5:5" x14ac:dyDescent="0.2">
      <c r="E74" s="730"/>
    </row>
    <row r="75" spans="5:5" x14ac:dyDescent="0.2">
      <c r="E75" s="730"/>
    </row>
    <row r="76" spans="5:5" x14ac:dyDescent="0.2">
      <c r="E76" s="730"/>
    </row>
    <row r="77" spans="5:5" x14ac:dyDescent="0.2">
      <c r="E77" s="730"/>
    </row>
    <row r="78" spans="5:5" x14ac:dyDescent="0.2">
      <c r="E78" s="730"/>
    </row>
    <row r="79" spans="5:5" x14ac:dyDescent="0.2">
      <c r="E79" s="730"/>
    </row>
    <row r="80" spans="5:5" x14ac:dyDescent="0.2">
      <c r="E80" s="730"/>
    </row>
    <row r="81" spans="5:5" x14ac:dyDescent="0.2">
      <c r="E81" s="730"/>
    </row>
    <row r="82" spans="5:5" x14ac:dyDescent="0.2">
      <c r="E82" s="730"/>
    </row>
    <row r="83" spans="5:5" x14ac:dyDescent="0.2">
      <c r="E83" s="730"/>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150" t="s">
        <v>502</v>
      </c>
      <c r="B1" s="1151"/>
      <c r="C1" s="1151"/>
      <c r="D1" s="1151"/>
      <c r="E1" s="1151"/>
      <c r="F1" s="1152"/>
    </row>
    <row r="2" spans="1:6" ht="19.5" customHeight="1" x14ac:dyDescent="0.25">
      <c r="A2" s="1149" t="s">
        <v>368</v>
      </c>
      <c r="B2" s="1149"/>
      <c r="C2" s="1149"/>
      <c r="D2" s="1149"/>
      <c r="E2" s="1149"/>
      <c r="F2" s="1149"/>
    </row>
    <row r="3" spans="1:6" ht="42" customHeight="1" x14ac:dyDescent="0.2">
      <c r="A3" s="165" t="s">
        <v>380</v>
      </c>
      <c r="B3" s="166" t="s">
        <v>381</v>
      </c>
      <c r="C3" s="173" t="s">
        <v>504</v>
      </c>
      <c r="D3" s="166" t="s">
        <v>499</v>
      </c>
      <c r="E3" s="166" t="s">
        <v>500</v>
      </c>
      <c r="F3" s="166" t="s">
        <v>501</v>
      </c>
    </row>
    <row r="4" spans="1:6" ht="15.75" x14ac:dyDescent="0.25">
      <c r="A4" s="167" t="s">
        <v>382</v>
      </c>
      <c r="B4" s="167" t="s">
        <v>383</v>
      </c>
      <c r="C4" s="168"/>
      <c r="D4" s="168"/>
      <c r="E4" s="168"/>
      <c r="F4" s="168"/>
    </row>
    <row r="5" spans="1:6" ht="15.75" x14ac:dyDescent="0.25">
      <c r="A5" s="172" t="s">
        <v>384</v>
      </c>
      <c r="B5" s="167" t="s">
        <v>385</v>
      </c>
      <c r="C5" s="168"/>
      <c r="D5" s="168"/>
      <c r="E5" s="168"/>
      <c r="F5" s="168"/>
    </row>
    <row r="6" spans="1:6" ht="15.75" x14ac:dyDescent="0.25">
      <c r="A6" s="167" t="s">
        <v>386</v>
      </c>
      <c r="B6" s="167" t="s">
        <v>387</v>
      </c>
      <c r="C6" s="168"/>
      <c r="D6" s="168"/>
      <c r="E6" s="168"/>
      <c r="F6" s="168"/>
    </row>
    <row r="7" spans="1:6" ht="15.75" x14ac:dyDescent="0.25">
      <c r="A7" s="167" t="s">
        <v>388</v>
      </c>
      <c r="B7" s="167" t="s">
        <v>389</v>
      </c>
      <c r="C7" s="168"/>
      <c r="D7" s="168"/>
      <c r="E7" s="168"/>
      <c r="F7" s="168"/>
    </row>
    <row r="8" spans="1:6" ht="15.75" x14ac:dyDescent="0.25">
      <c r="A8" s="171" t="s">
        <v>503</v>
      </c>
      <c r="B8" s="167" t="s">
        <v>390</v>
      </c>
      <c r="C8" s="168"/>
      <c r="D8" s="168"/>
      <c r="E8" s="168"/>
      <c r="F8" s="168"/>
    </row>
    <row r="9" spans="1:6" ht="15.75" x14ac:dyDescent="0.25">
      <c r="A9" s="167" t="s">
        <v>391</v>
      </c>
      <c r="B9" s="167" t="s">
        <v>392</v>
      </c>
      <c r="C9" s="168"/>
      <c r="D9" s="168"/>
      <c r="E9" s="168"/>
      <c r="F9" s="168"/>
    </row>
    <row r="10" spans="1:6" ht="15.75" x14ac:dyDescent="0.25">
      <c r="A10" s="167" t="s">
        <v>393</v>
      </c>
      <c r="B10" s="167" t="s">
        <v>394</v>
      </c>
      <c r="C10" s="168"/>
      <c r="D10" s="168"/>
      <c r="E10" s="168"/>
      <c r="F10" s="168"/>
    </row>
    <row r="11" spans="1:6" ht="15.75" x14ac:dyDescent="0.25">
      <c r="A11" s="167" t="s">
        <v>395</v>
      </c>
      <c r="B11" s="167" t="s">
        <v>396</v>
      </c>
      <c r="C11" s="168"/>
      <c r="D11" s="168"/>
      <c r="E11" s="168"/>
      <c r="F11" s="168"/>
    </row>
    <row r="12" spans="1:6" ht="15.75" x14ac:dyDescent="0.25">
      <c r="A12" s="172" t="s">
        <v>397</v>
      </c>
      <c r="B12" s="167" t="s">
        <v>398</v>
      </c>
      <c r="C12" s="168"/>
      <c r="D12" s="168"/>
      <c r="E12" s="168"/>
      <c r="F12" s="168"/>
    </row>
    <row r="13" spans="1:6" ht="15.75" x14ac:dyDescent="0.25">
      <c r="A13" s="167" t="s">
        <v>399</v>
      </c>
      <c r="B13" s="167" t="s">
        <v>400</v>
      </c>
      <c r="C13" s="168"/>
      <c r="D13" s="168"/>
      <c r="E13" s="168"/>
      <c r="F13" s="168"/>
    </row>
    <row r="14" spans="1:6" ht="15.75" x14ac:dyDescent="0.25">
      <c r="A14" s="167" t="s">
        <v>401</v>
      </c>
      <c r="B14" s="167" t="s">
        <v>402</v>
      </c>
      <c r="C14" s="168"/>
      <c r="D14" s="168"/>
      <c r="E14" s="168"/>
      <c r="F14" s="168"/>
    </row>
    <row r="15" spans="1:6" ht="15.75" x14ac:dyDescent="0.25">
      <c r="A15" s="167" t="s">
        <v>403</v>
      </c>
      <c r="B15" s="167" t="s">
        <v>404</v>
      </c>
      <c r="C15" s="168"/>
      <c r="D15" s="168"/>
      <c r="E15" s="168"/>
      <c r="F15" s="168"/>
    </row>
    <row r="16" spans="1:6" ht="15.75" x14ac:dyDescent="0.25">
      <c r="A16" s="167" t="s">
        <v>405</v>
      </c>
      <c r="B16" s="167" t="s">
        <v>406</v>
      </c>
      <c r="C16" s="168"/>
      <c r="D16" s="168"/>
      <c r="E16" s="168"/>
      <c r="F16" s="168"/>
    </row>
    <row r="17" spans="1:6" ht="15.75" x14ac:dyDescent="0.25">
      <c r="A17" s="167" t="s">
        <v>407</v>
      </c>
      <c r="B17" s="167" t="s">
        <v>408</v>
      </c>
      <c r="C17" s="168"/>
      <c r="D17" s="168"/>
      <c r="E17" s="168"/>
      <c r="F17" s="168"/>
    </row>
    <row r="18" spans="1:6" ht="15.75" x14ac:dyDescent="0.25">
      <c r="A18" s="167" t="s">
        <v>409</v>
      </c>
      <c r="B18" s="167" t="s">
        <v>410</v>
      </c>
      <c r="C18" s="168"/>
      <c r="D18" s="168"/>
      <c r="E18" s="168"/>
      <c r="F18" s="168"/>
    </row>
    <row r="19" spans="1:6" ht="15.75" x14ac:dyDescent="0.25">
      <c r="A19" s="167" t="s">
        <v>411</v>
      </c>
      <c r="B19" s="167" t="s">
        <v>412</v>
      </c>
      <c r="C19" s="168"/>
      <c r="D19" s="168"/>
      <c r="E19" s="168"/>
      <c r="F19" s="168"/>
    </row>
    <row r="20" spans="1:6" ht="15.75" x14ac:dyDescent="0.25">
      <c r="A20" s="167" t="s">
        <v>413</v>
      </c>
      <c r="B20" s="167" t="s">
        <v>414</v>
      </c>
      <c r="C20" s="168"/>
      <c r="D20" s="168"/>
      <c r="E20" s="168"/>
      <c r="F20" s="168"/>
    </row>
    <row r="21" spans="1:6" ht="15.75" x14ac:dyDescent="0.25">
      <c r="A21" s="167" t="s">
        <v>415</v>
      </c>
      <c r="B21" s="167" t="s">
        <v>416</v>
      </c>
      <c r="C21" s="168"/>
      <c r="D21" s="168"/>
      <c r="E21" s="168"/>
      <c r="F21" s="168"/>
    </row>
    <row r="22" spans="1:6" ht="15.75" x14ac:dyDescent="0.25">
      <c r="A22" s="167" t="s">
        <v>417</v>
      </c>
      <c r="B22" s="167" t="s">
        <v>418</v>
      </c>
      <c r="C22" s="168"/>
      <c r="D22" s="168"/>
      <c r="E22" s="168"/>
      <c r="F22" s="168"/>
    </row>
    <row r="23" spans="1:6" ht="15.75" x14ac:dyDescent="0.25">
      <c r="A23" s="167" t="s">
        <v>419</v>
      </c>
      <c r="B23" s="167" t="s">
        <v>420</v>
      </c>
      <c r="C23" s="168"/>
      <c r="D23" s="168"/>
      <c r="E23" s="168"/>
      <c r="F23" s="168"/>
    </row>
    <row r="24" spans="1:6" ht="15.75" x14ac:dyDescent="0.25">
      <c r="A24" s="172" t="s">
        <v>421</v>
      </c>
      <c r="B24" s="167" t="s">
        <v>422</v>
      </c>
      <c r="C24" s="168"/>
      <c r="D24" s="168"/>
      <c r="E24" s="168"/>
      <c r="F24" s="168"/>
    </row>
    <row r="25" spans="1:6" ht="15.75" x14ac:dyDescent="0.25">
      <c r="A25" s="167" t="s">
        <v>423</v>
      </c>
      <c r="B25" s="167" t="s">
        <v>424</v>
      </c>
      <c r="C25" s="168"/>
      <c r="D25" s="168"/>
      <c r="E25" s="168"/>
      <c r="F25" s="168"/>
    </row>
    <row r="26" spans="1:6" ht="15.75" x14ac:dyDescent="0.25">
      <c r="A26" s="167" t="s">
        <v>425</v>
      </c>
      <c r="B26" s="167" t="s">
        <v>426</v>
      </c>
      <c r="C26" s="168"/>
      <c r="D26" s="168"/>
      <c r="E26" s="168"/>
      <c r="F26" s="168"/>
    </row>
    <row r="27" spans="1:6" ht="15.75" x14ac:dyDescent="0.25">
      <c r="A27" s="167" t="s">
        <v>427</v>
      </c>
      <c r="B27" s="167" t="s">
        <v>428</v>
      </c>
      <c r="C27" s="168"/>
      <c r="D27" s="168"/>
      <c r="E27" s="168"/>
      <c r="F27" s="168"/>
    </row>
    <row r="28" spans="1:6" ht="15.75" x14ac:dyDescent="0.25">
      <c r="A28" s="167" t="s">
        <v>429</v>
      </c>
      <c r="B28" s="167" t="s">
        <v>430</v>
      </c>
      <c r="C28" s="168"/>
      <c r="D28" s="168"/>
      <c r="E28" s="168"/>
      <c r="F28" s="168"/>
    </row>
    <row r="29" spans="1:6" ht="15.75" x14ac:dyDescent="0.25">
      <c r="A29" s="167" t="s">
        <v>431</v>
      </c>
      <c r="B29" s="167" t="s">
        <v>432</v>
      </c>
      <c r="C29" s="168"/>
      <c r="D29" s="168"/>
      <c r="E29" s="168"/>
      <c r="F29" s="168"/>
    </row>
    <row r="30" spans="1:6" ht="15.75" x14ac:dyDescent="0.25">
      <c r="A30" s="167" t="s">
        <v>433</v>
      </c>
      <c r="B30" s="167" t="s">
        <v>434</v>
      </c>
      <c r="C30" s="168"/>
      <c r="D30" s="168"/>
      <c r="E30" s="168"/>
      <c r="F30" s="168"/>
    </row>
    <row r="31" spans="1:6" ht="15.75" x14ac:dyDescent="0.25">
      <c r="A31" s="167" t="s">
        <v>435</v>
      </c>
      <c r="B31" s="167" t="s">
        <v>436</v>
      </c>
      <c r="C31" s="168"/>
      <c r="D31" s="168"/>
      <c r="E31" s="168"/>
      <c r="F31" s="168"/>
    </row>
    <row r="32" spans="1:6" ht="15.75" x14ac:dyDescent="0.25">
      <c r="A32" s="167" t="s">
        <v>437</v>
      </c>
      <c r="B32" s="167" t="s">
        <v>438</v>
      </c>
      <c r="C32" s="168"/>
      <c r="D32" s="168"/>
      <c r="E32" s="168"/>
      <c r="F32" s="168"/>
    </row>
    <row r="33" spans="1:6" ht="15.75" x14ac:dyDescent="0.25">
      <c r="A33" s="172" t="s">
        <v>439</v>
      </c>
      <c r="B33" s="167" t="s">
        <v>440</v>
      </c>
      <c r="C33" s="168"/>
      <c r="D33" s="168"/>
      <c r="E33" s="168"/>
      <c r="F33" s="168"/>
    </row>
    <row r="34" spans="1:6" ht="15.75" x14ac:dyDescent="0.25">
      <c r="A34" s="167" t="s">
        <v>441</v>
      </c>
      <c r="B34" s="167" t="s">
        <v>442</v>
      </c>
      <c r="C34" s="168"/>
      <c r="D34" s="168"/>
      <c r="E34" s="168"/>
      <c r="F34" s="168"/>
    </row>
    <row r="35" spans="1:6" ht="15.75" x14ac:dyDescent="0.25">
      <c r="A35" s="167" t="s">
        <v>443</v>
      </c>
      <c r="B35" s="167" t="s">
        <v>444</v>
      </c>
      <c r="C35" s="168"/>
      <c r="D35" s="168"/>
      <c r="E35" s="168"/>
      <c r="F35" s="168"/>
    </row>
    <row r="36" spans="1:6" ht="15.75" x14ac:dyDescent="0.25">
      <c r="A36" s="167" t="s">
        <v>445</v>
      </c>
      <c r="B36" s="167" t="s">
        <v>446</v>
      </c>
      <c r="C36" s="168"/>
      <c r="D36" s="168"/>
      <c r="E36" s="168"/>
      <c r="F36" s="168"/>
    </row>
    <row r="37" spans="1:6" ht="15.75" x14ac:dyDescent="0.25">
      <c r="A37" s="167" t="s">
        <v>447</v>
      </c>
      <c r="B37" s="167" t="s">
        <v>448</v>
      </c>
      <c r="C37" s="168"/>
      <c r="D37" s="168"/>
      <c r="E37" s="168"/>
      <c r="F37" s="168"/>
    </row>
    <row r="38" spans="1:6" ht="15.75" x14ac:dyDescent="0.25">
      <c r="A38" s="167" t="s">
        <v>449</v>
      </c>
      <c r="B38" s="167" t="s">
        <v>450</v>
      </c>
      <c r="C38" s="168"/>
      <c r="D38" s="168"/>
      <c r="E38" s="168"/>
      <c r="F38" s="168"/>
    </row>
    <row r="39" spans="1:6" ht="15.75" x14ac:dyDescent="0.25">
      <c r="A39" s="167" t="s">
        <v>451</v>
      </c>
      <c r="B39" s="167" t="s">
        <v>452</v>
      </c>
      <c r="C39" s="168"/>
      <c r="D39" s="168"/>
      <c r="E39" s="168"/>
      <c r="F39" s="168"/>
    </row>
    <row r="40" spans="1:6" ht="15.75" x14ac:dyDescent="0.25">
      <c r="A40" s="172" t="s">
        <v>453</v>
      </c>
      <c r="B40" s="167" t="s">
        <v>454</v>
      </c>
      <c r="C40" s="168"/>
      <c r="D40" s="168"/>
      <c r="E40" s="168"/>
      <c r="F40" s="168"/>
    </row>
    <row r="41" spans="1:6" ht="15.75" x14ac:dyDescent="0.25">
      <c r="A41" s="167" t="s">
        <v>455</v>
      </c>
      <c r="B41" s="167" t="s">
        <v>456</v>
      </c>
      <c r="C41" s="168"/>
      <c r="D41" s="168"/>
      <c r="E41" s="168"/>
      <c r="F41" s="168"/>
    </row>
    <row r="42" spans="1:6" ht="15.75" x14ac:dyDescent="0.25">
      <c r="A42" s="167" t="s">
        <v>457</v>
      </c>
      <c r="B42" s="167" t="s">
        <v>458</v>
      </c>
      <c r="C42" s="168"/>
      <c r="D42" s="168"/>
      <c r="E42" s="168"/>
      <c r="F42" s="168"/>
    </row>
    <row r="43" spans="1:6" ht="15.75" x14ac:dyDescent="0.25">
      <c r="A43" s="167" t="s">
        <v>459</v>
      </c>
      <c r="B43" s="167" t="s">
        <v>460</v>
      </c>
      <c r="C43" s="168"/>
      <c r="D43" s="168"/>
      <c r="E43" s="168"/>
      <c r="F43" s="168"/>
    </row>
    <row r="44" spans="1:6" ht="15.75" x14ac:dyDescent="0.25">
      <c r="A44" s="167" t="s">
        <v>461</v>
      </c>
      <c r="B44" s="167" t="s">
        <v>462</v>
      </c>
      <c r="C44" s="168"/>
      <c r="D44" s="168"/>
      <c r="E44" s="168"/>
      <c r="F44" s="168"/>
    </row>
    <row r="45" spans="1:6" ht="15.75" x14ac:dyDescent="0.25">
      <c r="A45" s="172" t="s">
        <v>463</v>
      </c>
      <c r="B45" s="167" t="s">
        <v>464</v>
      </c>
      <c r="C45" s="168"/>
      <c r="D45" s="168"/>
      <c r="E45" s="168"/>
      <c r="F45" s="168"/>
    </row>
    <row r="46" spans="1:6" ht="15.75" x14ac:dyDescent="0.25">
      <c r="A46" s="167" t="s">
        <v>465</v>
      </c>
      <c r="B46" s="167" t="s">
        <v>466</v>
      </c>
      <c r="C46" s="168"/>
      <c r="D46" s="168"/>
      <c r="E46" s="168"/>
      <c r="F46" s="168"/>
    </row>
    <row r="47" spans="1:6" ht="15.75" x14ac:dyDescent="0.25">
      <c r="A47" s="167" t="s">
        <v>457</v>
      </c>
      <c r="B47" s="167" t="s">
        <v>467</v>
      </c>
      <c r="C47" s="168"/>
      <c r="D47" s="168"/>
      <c r="E47" s="168"/>
      <c r="F47" s="168"/>
    </row>
    <row r="48" spans="1:6" ht="15.75" x14ac:dyDescent="0.25">
      <c r="A48" s="167" t="s">
        <v>468</v>
      </c>
      <c r="B48" s="167" t="s">
        <v>469</v>
      </c>
      <c r="C48" s="168"/>
      <c r="D48" s="168"/>
      <c r="E48" s="168"/>
      <c r="F48" s="168"/>
    </row>
    <row r="49" spans="1:6" ht="15.75" x14ac:dyDescent="0.25">
      <c r="A49" s="167" t="s">
        <v>470</v>
      </c>
      <c r="B49" s="167" t="s">
        <v>471</v>
      </c>
      <c r="C49" s="168"/>
      <c r="D49" s="168"/>
      <c r="E49" s="168"/>
      <c r="F49" s="168"/>
    </row>
    <row r="50" spans="1:6" ht="15.75" x14ac:dyDescent="0.25">
      <c r="A50" s="167" t="s">
        <v>472</v>
      </c>
      <c r="B50" s="167" t="s">
        <v>473</v>
      </c>
      <c r="C50" s="168"/>
      <c r="D50" s="168"/>
      <c r="E50" s="168"/>
      <c r="F50" s="168"/>
    </row>
    <row r="51" spans="1:6" ht="15.75" x14ac:dyDescent="0.25">
      <c r="A51" s="167" t="s">
        <v>459</v>
      </c>
      <c r="B51" s="167" t="s">
        <v>474</v>
      </c>
      <c r="C51" s="168"/>
      <c r="D51" s="168"/>
      <c r="E51" s="168"/>
      <c r="F51" s="168"/>
    </row>
    <row r="52" spans="1:6" ht="15.75" x14ac:dyDescent="0.25">
      <c r="A52" s="167" t="s">
        <v>475</v>
      </c>
      <c r="B52" s="167" t="s">
        <v>476</v>
      </c>
      <c r="C52" s="168"/>
      <c r="D52" s="168"/>
      <c r="E52" s="168"/>
      <c r="F52" s="168"/>
    </row>
    <row r="53" spans="1:6" ht="15.75" x14ac:dyDescent="0.25">
      <c r="A53" s="167" t="s">
        <v>461</v>
      </c>
      <c r="B53" s="167" t="s">
        <v>477</v>
      </c>
      <c r="C53" s="168"/>
      <c r="D53" s="168"/>
      <c r="E53" s="168"/>
      <c r="F53" s="168"/>
    </row>
    <row r="54" spans="1:6" ht="15.75" x14ac:dyDescent="0.25">
      <c r="A54" s="172" t="s">
        <v>478</v>
      </c>
      <c r="B54" s="167" t="s">
        <v>479</v>
      </c>
      <c r="C54" s="168"/>
      <c r="D54" s="168"/>
      <c r="E54" s="168"/>
      <c r="F54" s="168"/>
    </row>
    <row r="55" spans="1:6" ht="15.75" x14ac:dyDescent="0.25">
      <c r="A55" s="167" t="s">
        <v>480</v>
      </c>
      <c r="B55" s="167" t="s">
        <v>481</v>
      </c>
      <c r="C55" s="168"/>
      <c r="D55" s="168"/>
      <c r="E55" s="168"/>
      <c r="F55" s="168"/>
    </row>
    <row r="56" spans="1:6" ht="15.75" x14ac:dyDescent="0.25">
      <c r="A56" s="167" t="s">
        <v>482</v>
      </c>
      <c r="B56" s="167" t="s">
        <v>483</v>
      </c>
      <c r="C56" s="168"/>
      <c r="D56" s="168"/>
      <c r="E56" s="168"/>
      <c r="F56" s="168"/>
    </row>
    <row r="57" spans="1:6" ht="15.75" x14ac:dyDescent="0.25">
      <c r="A57" s="167" t="s">
        <v>484</v>
      </c>
      <c r="B57" s="167" t="s">
        <v>485</v>
      </c>
      <c r="C57" s="168"/>
      <c r="D57" s="168"/>
      <c r="E57" s="168"/>
      <c r="F57" s="168"/>
    </row>
    <row r="58" spans="1:6" ht="15.75" x14ac:dyDescent="0.25">
      <c r="A58" s="167" t="s">
        <v>486</v>
      </c>
      <c r="B58" s="167" t="s">
        <v>487</v>
      </c>
      <c r="C58" s="168"/>
      <c r="D58" s="168"/>
      <c r="E58" s="168"/>
      <c r="F58" s="168"/>
    </row>
    <row r="59" spans="1:6" ht="15.75" x14ac:dyDescent="0.25">
      <c r="A59" s="167" t="s">
        <v>488</v>
      </c>
      <c r="B59" s="167" t="s">
        <v>489</v>
      </c>
      <c r="C59" s="168"/>
      <c r="D59" s="168"/>
      <c r="E59" s="168"/>
      <c r="F59" s="168"/>
    </row>
    <row r="60" spans="1:6" ht="15.75" x14ac:dyDescent="0.25">
      <c r="A60" s="167" t="s">
        <v>490</v>
      </c>
      <c r="B60" s="167" t="s">
        <v>491</v>
      </c>
      <c r="C60" s="168"/>
      <c r="D60" s="168"/>
      <c r="E60" s="168"/>
      <c r="F60" s="168"/>
    </row>
    <row r="61" spans="1:6" ht="15.75" x14ac:dyDescent="0.25">
      <c r="A61" s="172" t="s">
        <v>492</v>
      </c>
      <c r="B61" s="167" t="s">
        <v>493</v>
      </c>
      <c r="C61" s="168"/>
      <c r="D61" s="168"/>
      <c r="E61" s="168"/>
      <c r="F61" s="168"/>
    </row>
    <row r="62" spans="1:6" ht="15.75" x14ac:dyDescent="0.25">
      <c r="A62" s="167" t="s">
        <v>494</v>
      </c>
      <c r="B62" s="167" t="s">
        <v>495</v>
      </c>
      <c r="C62" s="168"/>
      <c r="D62" s="168"/>
      <c r="E62" s="168"/>
      <c r="F62" s="168"/>
    </row>
    <row r="63" spans="1:6" ht="15.75" x14ac:dyDescent="0.25">
      <c r="A63" s="167" t="s">
        <v>496</v>
      </c>
      <c r="B63" s="167" t="s">
        <v>497</v>
      </c>
      <c r="C63" s="168"/>
      <c r="D63" s="168"/>
      <c r="E63" s="168"/>
      <c r="F63" s="168"/>
    </row>
    <row r="64" spans="1:6" ht="15.75" x14ac:dyDescent="0.25">
      <c r="A64" s="169" t="s">
        <v>498</v>
      </c>
      <c r="B64" s="170"/>
      <c r="C64" s="168"/>
      <c r="D64" s="168"/>
      <c r="E64" s="168"/>
      <c r="F64" s="168"/>
    </row>
    <row r="65" spans="1:6" ht="15.75" x14ac:dyDescent="0.25">
      <c r="A65" s="88"/>
      <c r="B65" s="88"/>
      <c r="C65" s="88"/>
      <c r="D65" s="88"/>
      <c r="E65" s="88"/>
      <c r="F65" s="88"/>
    </row>
    <row r="66" spans="1:6" ht="15.75" x14ac:dyDescent="0.25">
      <c r="A66" s="88"/>
      <c r="B66" s="88"/>
      <c r="C66" s="88"/>
      <c r="D66" s="88"/>
      <c r="E66" s="88"/>
      <c r="F66" s="88"/>
    </row>
    <row r="67" spans="1:6" ht="15.75" x14ac:dyDescent="0.25">
      <c r="A67" s="88"/>
      <c r="B67" s="88"/>
      <c r="C67" s="88"/>
      <c r="D67" s="88"/>
      <c r="E67" s="88"/>
      <c r="F67" s="88"/>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3"/>
  <sheetViews>
    <sheetView zoomScale="110" zoomScaleNormal="110" workbookViewId="0">
      <pane xSplit="1" ySplit="2" topLeftCell="B3" activePane="bottomRight" state="frozen"/>
      <selection pane="topRight" activeCell="B1" sqref="B1"/>
      <selection pane="bottomLeft" activeCell="A3" sqref="A3"/>
      <selection pane="bottomRight" activeCell="A2" sqref="A2"/>
    </sheetView>
  </sheetViews>
  <sheetFormatPr defaultRowHeight="15.75" x14ac:dyDescent="0.2"/>
  <cols>
    <col min="1" max="1" width="19.5703125" style="34" customWidth="1"/>
    <col min="2" max="2" width="113" style="11" customWidth="1"/>
    <col min="3" max="3" width="13.85546875" style="391" customWidth="1"/>
  </cols>
  <sheetData>
    <row r="1" spans="1:3" ht="19.5" thickBot="1" x14ac:dyDescent="0.3">
      <c r="A1" s="907" t="s">
        <v>1034</v>
      </c>
      <c r="B1" s="908"/>
      <c r="C1" s="390"/>
    </row>
    <row r="2" spans="1:3" x14ac:dyDescent="0.2">
      <c r="A2" s="180" t="s">
        <v>199</v>
      </c>
      <c r="B2" s="180" t="s">
        <v>265</v>
      </c>
    </row>
    <row r="3" spans="1:3" ht="144.75" customHeight="1" x14ac:dyDescent="0.2">
      <c r="A3" s="315" t="s">
        <v>200</v>
      </c>
      <c r="B3" s="182" t="s">
        <v>284</v>
      </c>
    </row>
    <row r="4" spans="1:3" ht="56.25" customHeight="1" x14ac:dyDescent="0.2">
      <c r="A4" s="315" t="s">
        <v>201</v>
      </c>
      <c r="B4" s="315" t="s">
        <v>68</v>
      </c>
    </row>
    <row r="5" spans="1:3" ht="47.25" x14ac:dyDescent="0.2">
      <c r="A5" s="315" t="s">
        <v>38</v>
      </c>
      <c r="B5" s="182" t="s">
        <v>1035</v>
      </c>
    </row>
    <row r="6" spans="1:3" ht="302.25" customHeight="1" x14ac:dyDescent="0.2">
      <c r="A6" s="315" t="s">
        <v>39</v>
      </c>
      <c r="B6" s="315" t="s">
        <v>718</v>
      </c>
    </row>
    <row r="7" spans="1:3" ht="38.25" customHeight="1" x14ac:dyDescent="0.2">
      <c r="A7" s="315" t="s">
        <v>40</v>
      </c>
      <c r="B7" s="182" t="s">
        <v>833</v>
      </c>
    </row>
    <row r="8" spans="1:3" ht="63.75" customHeight="1" x14ac:dyDescent="0.2">
      <c r="A8" s="181" t="s">
        <v>198</v>
      </c>
      <c r="B8" s="254" t="s">
        <v>1211</v>
      </c>
      <c r="C8" s="540" t="s">
        <v>1128</v>
      </c>
    </row>
    <row r="9" spans="1:3" ht="21" customHeight="1" x14ac:dyDescent="0.2">
      <c r="A9" s="182" t="s">
        <v>674</v>
      </c>
      <c r="B9" s="182" t="s">
        <v>1049</v>
      </c>
    </row>
    <row r="10" spans="1:3" ht="31.5" x14ac:dyDescent="0.2">
      <c r="A10" s="186" t="s">
        <v>90</v>
      </c>
      <c r="B10" s="183" t="s">
        <v>675</v>
      </c>
    </row>
    <row r="11" spans="1:3" ht="66" customHeight="1" x14ac:dyDescent="0.2">
      <c r="A11" s="181" t="s">
        <v>192</v>
      </c>
      <c r="B11" s="181" t="s">
        <v>1134</v>
      </c>
      <c r="C11" s="392"/>
    </row>
    <row r="12" spans="1:3" ht="63" x14ac:dyDescent="0.2">
      <c r="A12" s="184" t="s">
        <v>193</v>
      </c>
      <c r="B12" s="184" t="s">
        <v>881</v>
      </c>
      <c r="C12" s="397"/>
    </row>
    <row r="13" spans="1:3" ht="36" customHeight="1" x14ac:dyDescent="0.2">
      <c r="A13" s="185" t="s">
        <v>194</v>
      </c>
      <c r="B13" s="185" t="s">
        <v>874</v>
      </c>
    </row>
    <row r="14" spans="1:3" ht="66.75" customHeight="1" x14ac:dyDescent="0.2">
      <c r="A14" s="182" t="s">
        <v>195</v>
      </c>
      <c r="B14" s="199" t="s">
        <v>730</v>
      </c>
      <c r="C14" s="540"/>
    </row>
    <row r="15" spans="1:3" ht="84" customHeight="1" x14ac:dyDescent="0.2">
      <c r="A15" s="182" t="s">
        <v>196</v>
      </c>
      <c r="B15" s="199" t="s">
        <v>824</v>
      </c>
    </row>
    <row r="16" spans="1:3" ht="21.75" customHeight="1" x14ac:dyDescent="0.2">
      <c r="A16" s="182" t="s">
        <v>34</v>
      </c>
      <c r="B16" s="182" t="s">
        <v>668</v>
      </c>
    </row>
    <row r="17" spans="1:3" ht="52.5" customHeight="1" x14ac:dyDescent="0.2">
      <c r="A17" s="181" t="s">
        <v>26</v>
      </c>
      <c r="B17" s="181" t="s">
        <v>1036</v>
      </c>
    </row>
    <row r="18" spans="1:3" ht="64.5" customHeight="1" x14ac:dyDescent="0.2">
      <c r="A18" s="315" t="s">
        <v>190</v>
      </c>
      <c r="B18" s="315" t="s">
        <v>1037</v>
      </c>
    </row>
    <row r="19" spans="1:3" ht="33" customHeight="1" x14ac:dyDescent="0.2">
      <c r="A19" s="254" t="s">
        <v>269</v>
      </c>
      <c r="B19" s="254" t="s">
        <v>225</v>
      </c>
    </row>
    <row r="20" spans="1:3" ht="17.25" customHeight="1" x14ac:dyDescent="0.2">
      <c r="A20" s="315" t="s">
        <v>814</v>
      </c>
      <c r="B20" s="315" t="s">
        <v>816</v>
      </c>
    </row>
    <row r="21" spans="1:3" ht="31.5" x14ac:dyDescent="0.2">
      <c r="A21" s="315" t="s">
        <v>802</v>
      </c>
      <c r="B21" s="315" t="s">
        <v>815</v>
      </c>
    </row>
    <row r="22" spans="1:3" ht="18" customHeight="1" x14ac:dyDescent="0.2">
      <c r="A22" s="315" t="s">
        <v>690</v>
      </c>
      <c r="B22" s="315" t="s">
        <v>817</v>
      </c>
    </row>
    <row r="23" spans="1:3" ht="20.25" customHeight="1" x14ac:dyDescent="0.2">
      <c r="A23" s="315" t="s">
        <v>803</v>
      </c>
      <c r="B23" s="315" t="s">
        <v>691</v>
      </c>
    </row>
    <row r="24" spans="1:3" ht="21" customHeight="1" x14ac:dyDescent="0.2">
      <c r="A24" s="315" t="s">
        <v>1198</v>
      </c>
      <c r="B24" s="315" t="s">
        <v>1038</v>
      </c>
    </row>
    <row r="25" spans="1:3" ht="36" customHeight="1" x14ac:dyDescent="0.2">
      <c r="A25" s="315" t="s">
        <v>1199</v>
      </c>
      <c r="B25" s="315" t="s">
        <v>1200</v>
      </c>
    </row>
    <row r="26" spans="1:3" ht="55.5" customHeight="1" x14ac:dyDescent="0.2">
      <c r="A26" s="181" t="s">
        <v>19</v>
      </c>
      <c r="B26" s="181" t="s">
        <v>1039</v>
      </c>
    </row>
    <row r="27" spans="1:3" ht="73.5" customHeight="1" x14ac:dyDescent="0.2">
      <c r="A27" s="315" t="s">
        <v>191</v>
      </c>
      <c r="B27" s="315" t="s">
        <v>1040</v>
      </c>
    </row>
    <row r="28" spans="1:3" ht="35.25" customHeight="1" x14ac:dyDescent="0.2">
      <c r="A28" s="181" t="s">
        <v>145</v>
      </c>
      <c r="B28" s="181" t="s">
        <v>509</v>
      </c>
    </row>
    <row r="29" spans="1:3" s="114" customFormat="1" ht="213.6" customHeight="1" x14ac:dyDescent="0.2">
      <c r="A29" s="315" t="s">
        <v>311</v>
      </c>
      <c r="B29" s="182" t="s">
        <v>1137</v>
      </c>
      <c r="C29" s="542"/>
    </row>
    <row r="30" spans="1:3" ht="31.5" x14ac:dyDescent="0.2">
      <c r="A30" s="185" t="s">
        <v>226</v>
      </c>
      <c r="B30" s="216" t="s">
        <v>825</v>
      </c>
    </row>
    <row r="31" spans="1:3" ht="78.75" x14ac:dyDescent="0.2">
      <c r="A31" s="182" t="s">
        <v>227</v>
      </c>
      <c r="B31" s="182" t="s">
        <v>175</v>
      </c>
      <c r="C31" s="392"/>
    </row>
    <row r="32" spans="1:3" ht="31.5" x14ac:dyDescent="0.2">
      <c r="A32" s="185" t="s">
        <v>228</v>
      </c>
      <c r="B32" s="185" t="s">
        <v>138</v>
      </c>
    </row>
    <row r="33" spans="1:3" ht="18" customHeight="1" x14ac:dyDescent="0.2">
      <c r="A33" s="185" t="s">
        <v>229</v>
      </c>
      <c r="B33" s="185" t="s">
        <v>139</v>
      </c>
    </row>
    <row r="34" spans="1:3" ht="18" customHeight="1" x14ac:dyDescent="0.2">
      <c r="A34" s="185" t="s">
        <v>230</v>
      </c>
      <c r="B34" s="185" t="s">
        <v>154</v>
      </c>
    </row>
    <row r="35" spans="1:3" ht="34.5" customHeight="1" x14ac:dyDescent="0.2">
      <c r="A35" s="185" t="s">
        <v>231</v>
      </c>
      <c r="B35" s="185" t="s">
        <v>875</v>
      </c>
    </row>
    <row r="36" spans="1:3" ht="78.75" x14ac:dyDescent="0.2">
      <c r="A36" s="185" t="s">
        <v>282</v>
      </c>
      <c r="B36" s="185" t="s">
        <v>1050</v>
      </c>
    </row>
    <row r="37" spans="1:3" ht="36.75" customHeight="1" x14ac:dyDescent="0.2">
      <c r="A37" s="185" t="s">
        <v>140</v>
      </c>
      <c r="B37" s="185" t="s">
        <v>1051</v>
      </c>
    </row>
    <row r="38" spans="1:3" ht="45" customHeight="1" x14ac:dyDescent="0.2">
      <c r="A38" s="185" t="s">
        <v>141</v>
      </c>
      <c r="B38" s="185" t="s">
        <v>1052</v>
      </c>
    </row>
    <row r="39" spans="1:3" ht="62.25" customHeight="1" x14ac:dyDescent="0.2">
      <c r="A39" s="185" t="s">
        <v>142</v>
      </c>
      <c r="B39" s="182" t="s">
        <v>849</v>
      </c>
      <c r="C39" s="392"/>
    </row>
    <row r="40" spans="1:3" ht="31.5" x14ac:dyDescent="0.2">
      <c r="A40" s="185" t="s">
        <v>143</v>
      </c>
      <c r="B40" s="185" t="s">
        <v>669</v>
      </c>
    </row>
    <row r="41" spans="1:3" ht="20.25" customHeight="1" x14ac:dyDescent="0.2">
      <c r="A41" s="182" t="s">
        <v>144</v>
      </c>
      <c r="B41" s="182" t="s">
        <v>64</v>
      </c>
    </row>
    <row r="42" spans="1:3" ht="30" customHeight="1" x14ac:dyDescent="0.2">
      <c r="A42" s="329" t="s">
        <v>822</v>
      </c>
      <c r="B42" s="329" t="s">
        <v>820</v>
      </c>
    </row>
    <row r="43" spans="1:3" ht="33.75" customHeight="1" x14ac:dyDescent="0.2">
      <c r="A43" s="181" t="s">
        <v>20</v>
      </c>
      <c r="B43" s="181" t="s">
        <v>1221</v>
      </c>
    </row>
    <row r="44" spans="1:3" ht="33.75" customHeight="1" x14ac:dyDescent="0.2">
      <c r="A44" s="181" t="s">
        <v>232</v>
      </c>
      <c r="B44" s="181" t="s">
        <v>239</v>
      </c>
    </row>
    <row r="45" spans="1:3" ht="31.5" x14ac:dyDescent="0.2">
      <c r="A45" s="199" t="s">
        <v>780</v>
      </c>
      <c r="B45" s="199" t="s">
        <v>834</v>
      </c>
    </row>
    <row r="46" spans="1:3" ht="33" customHeight="1" x14ac:dyDescent="0.2">
      <c r="A46" s="182" t="s">
        <v>155</v>
      </c>
      <c r="B46" s="182" t="s">
        <v>670</v>
      </c>
    </row>
    <row r="47" spans="1:3" ht="63" x14ac:dyDescent="0.2">
      <c r="A47" s="181" t="s">
        <v>21</v>
      </c>
      <c r="B47" s="181" t="s">
        <v>719</v>
      </c>
    </row>
    <row r="48" spans="1:3" x14ac:dyDescent="0.2">
      <c r="A48" s="185" t="s">
        <v>375</v>
      </c>
      <c r="B48" s="216" t="s">
        <v>729</v>
      </c>
    </row>
    <row r="49" spans="1:3" ht="31.5" x14ac:dyDescent="0.2">
      <c r="A49" s="182" t="s">
        <v>66</v>
      </c>
      <c r="B49" s="182" t="s">
        <v>1135</v>
      </c>
    </row>
    <row r="50" spans="1:3" ht="30" customHeight="1" x14ac:dyDescent="0.2">
      <c r="A50" s="185" t="s">
        <v>680</v>
      </c>
      <c r="B50" s="185" t="s">
        <v>1204</v>
      </c>
    </row>
    <row r="51" spans="1:3" ht="50.25" customHeight="1" x14ac:dyDescent="0.2">
      <c r="A51" s="181" t="s">
        <v>268</v>
      </c>
      <c r="B51" s="181" t="s">
        <v>720</v>
      </c>
    </row>
    <row r="52" spans="1:3" s="114" customFormat="1" ht="31.5" x14ac:dyDescent="0.2">
      <c r="A52" s="181" t="s">
        <v>173</v>
      </c>
      <c r="B52" s="181" t="s">
        <v>721</v>
      </c>
      <c r="C52" s="393"/>
    </row>
    <row r="53" spans="1:3" s="114" customFormat="1" x14ac:dyDescent="0.2">
      <c r="A53" s="254" t="s">
        <v>335</v>
      </c>
      <c r="B53" s="254" t="s">
        <v>1041</v>
      </c>
      <c r="C53" s="393"/>
    </row>
    <row r="54" spans="1:3" s="114" customFormat="1" ht="31.5" x14ac:dyDescent="0.2">
      <c r="A54" s="199" t="s">
        <v>240</v>
      </c>
      <c r="B54" s="199" t="s">
        <v>156</v>
      </c>
      <c r="C54" s="393"/>
    </row>
    <row r="55" spans="1:3" s="114" customFormat="1" ht="31.5" x14ac:dyDescent="0.2">
      <c r="A55" s="216" t="s">
        <v>371</v>
      </c>
      <c r="B55" s="216" t="s">
        <v>876</v>
      </c>
      <c r="C55" s="393"/>
    </row>
    <row r="56" spans="1:3" s="114" customFormat="1" ht="34.5" x14ac:dyDescent="0.2">
      <c r="A56" s="216" t="s">
        <v>728</v>
      </c>
      <c r="B56" s="217" t="s">
        <v>878</v>
      </c>
      <c r="C56" s="393"/>
    </row>
    <row r="57" spans="1:3" s="114" customFormat="1" ht="22.5" customHeight="1" x14ac:dyDescent="0.2">
      <c r="A57" s="216" t="s">
        <v>736</v>
      </c>
      <c r="B57" s="217" t="s">
        <v>877</v>
      </c>
      <c r="C57" s="393"/>
    </row>
    <row r="58" spans="1:3" ht="47.25" x14ac:dyDescent="0.2">
      <c r="A58" s="181" t="s">
        <v>22</v>
      </c>
      <c r="B58" s="181" t="s">
        <v>166</v>
      </c>
    </row>
    <row r="59" spans="1:3" ht="31.5" x14ac:dyDescent="0.2">
      <c r="A59" s="182" t="s">
        <v>974</v>
      </c>
      <c r="B59" s="182" t="s">
        <v>125</v>
      </c>
    </row>
    <row r="60" spans="1:3" ht="47.25" x14ac:dyDescent="0.2">
      <c r="A60" s="216" t="s">
        <v>700</v>
      </c>
      <c r="B60" s="216" t="s">
        <v>1127</v>
      </c>
      <c r="C60" s="540" t="s">
        <v>1128</v>
      </c>
    </row>
    <row r="61" spans="1:3" ht="47.25" x14ac:dyDescent="0.2">
      <c r="A61" s="216" t="s">
        <v>701</v>
      </c>
      <c r="B61" s="216" t="s">
        <v>1042</v>
      </c>
      <c r="C61" s="541"/>
    </row>
    <row r="62" spans="1:3" ht="47.25" x14ac:dyDescent="0.2">
      <c r="A62" s="199" t="s">
        <v>124</v>
      </c>
      <c r="B62" s="199" t="s">
        <v>1043</v>
      </c>
      <c r="C62" s="543"/>
    </row>
    <row r="63" spans="1:3" ht="63.75" customHeight="1" x14ac:dyDescent="0.2">
      <c r="A63" s="216" t="s">
        <v>702</v>
      </c>
      <c r="B63" s="182" t="s">
        <v>949</v>
      </c>
      <c r="C63" s="540"/>
    </row>
    <row r="64" spans="1:3" s="117" customFormat="1" ht="31.5" x14ac:dyDescent="0.2">
      <c r="A64" s="181" t="s">
        <v>23</v>
      </c>
      <c r="B64" s="181" t="s">
        <v>1044</v>
      </c>
      <c r="C64" s="544"/>
    </row>
    <row r="65" spans="1:11" s="487" customFormat="1" ht="18" customHeight="1" x14ac:dyDescent="0.2">
      <c r="A65" s="315" t="s">
        <v>989</v>
      </c>
      <c r="B65" s="523" t="s">
        <v>1212</v>
      </c>
      <c r="C65" s="545" t="s">
        <v>1128</v>
      </c>
    </row>
    <row r="66" spans="1:11" s="114" customFormat="1" ht="31.5" x14ac:dyDescent="0.2">
      <c r="A66" s="199" t="s">
        <v>1053</v>
      </c>
      <c r="B66" s="182" t="s">
        <v>174</v>
      </c>
      <c r="C66" s="393"/>
    </row>
    <row r="67" spans="1:11" ht="31.5" x14ac:dyDescent="0.2">
      <c r="A67" s="199" t="s">
        <v>850</v>
      </c>
      <c r="B67" s="182" t="s">
        <v>948</v>
      </c>
      <c r="C67" s="394"/>
    </row>
    <row r="68" spans="1:11" x14ac:dyDescent="0.2">
      <c r="A68" s="199" t="s">
        <v>1054</v>
      </c>
      <c r="B68" s="182" t="s">
        <v>947</v>
      </c>
      <c r="C68" s="394"/>
    </row>
    <row r="69" spans="1:11" ht="34.5" customHeight="1" x14ac:dyDescent="0.2">
      <c r="A69" s="181" t="s">
        <v>312</v>
      </c>
      <c r="B69" s="181" t="s">
        <v>1045</v>
      </c>
      <c r="C69" s="394"/>
      <c r="K69" s="361"/>
    </row>
    <row r="70" spans="1:11" ht="34.5" customHeight="1" x14ac:dyDescent="0.2">
      <c r="A70" s="199" t="s">
        <v>298</v>
      </c>
      <c r="B70" s="199" t="s">
        <v>1136</v>
      </c>
      <c r="C70" s="394"/>
    </row>
    <row r="71" spans="1:11" ht="21" customHeight="1" x14ac:dyDescent="0.2">
      <c r="A71" s="182" t="s">
        <v>313</v>
      </c>
      <c r="B71" s="182" t="s">
        <v>821</v>
      </c>
      <c r="C71" s="394"/>
    </row>
    <row r="72" spans="1:11" ht="53.25" customHeight="1" x14ac:dyDescent="0.2">
      <c r="A72" s="185" t="s">
        <v>35</v>
      </c>
      <c r="B72" s="185" t="s">
        <v>187</v>
      </c>
    </row>
    <row r="73" spans="1:11" ht="36" customHeight="1" x14ac:dyDescent="0.2">
      <c r="A73" s="182" t="s">
        <v>63</v>
      </c>
      <c r="B73" s="182" t="s">
        <v>1046</v>
      </c>
    </row>
    <row r="74" spans="1:11" ht="33.75" customHeight="1" x14ac:dyDescent="0.2">
      <c r="A74" s="211" t="s">
        <v>672</v>
      </c>
      <c r="B74" s="216" t="s">
        <v>835</v>
      </c>
    </row>
    <row r="75" spans="1:11" ht="90.75" customHeight="1" x14ac:dyDescent="0.2">
      <c r="A75" s="181" t="s">
        <v>146</v>
      </c>
      <c r="B75" s="181" t="s">
        <v>1162</v>
      </c>
    </row>
    <row r="76" spans="1:11" ht="18" customHeight="1" x14ac:dyDescent="0.2">
      <c r="A76" s="182" t="s">
        <v>69</v>
      </c>
      <c r="B76" s="182" t="s">
        <v>836</v>
      </c>
    </row>
    <row r="77" spans="1:11" ht="19.5" customHeight="1" x14ac:dyDescent="0.2">
      <c r="A77" s="185" t="s">
        <v>283</v>
      </c>
      <c r="B77" s="185" t="s">
        <v>41</v>
      </c>
    </row>
    <row r="78" spans="1:11" ht="19.5" customHeight="1" x14ac:dyDescent="0.2">
      <c r="A78" s="532" t="s">
        <v>1172</v>
      </c>
      <c r="B78" s="532" t="s">
        <v>1190</v>
      </c>
      <c r="C78" s="392" t="s">
        <v>1173</v>
      </c>
    </row>
    <row r="79" spans="1:11" ht="21" customHeight="1" x14ac:dyDescent="0.2">
      <c r="A79" s="185" t="s">
        <v>1163</v>
      </c>
      <c r="B79" s="185" t="s">
        <v>1159</v>
      </c>
      <c r="C79" s="392"/>
    </row>
    <row r="80" spans="1:11" ht="25.5" customHeight="1" x14ac:dyDescent="0.2">
      <c r="A80" s="185" t="s">
        <v>1160</v>
      </c>
      <c r="B80" s="185" t="s">
        <v>1161</v>
      </c>
      <c r="C80" s="392"/>
    </row>
    <row r="81" spans="1:6" ht="35.25" customHeight="1" x14ac:dyDescent="0.2">
      <c r="A81" s="185" t="s">
        <v>1164</v>
      </c>
      <c r="B81" s="185" t="s">
        <v>1165</v>
      </c>
      <c r="C81" s="392"/>
    </row>
    <row r="82" spans="1:6" ht="35.25" customHeight="1" x14ac:dyDescent="0.2">
      <c r="A82" s="185" t="s">
        <v>1166</v>
      </c>
      <c r="B82" s="185" t="s">
        <v>1167</v>
      </c>
      <c r="C82" s="392"/>
    </row>
    <row r="83" spans="1:6" ht="47.25" x14ac:dyDescent="0.2">
      <c r="A83" s="182" t="s">
        <v>1168</v>
      </c>
      <c r="B83" s="182" t="s">
        <v>975</v>
      </c>
      <c r="C83" s="395"/>
      <c r="F83" s="361"/>
    </row>
    <row r="84" spans="1:6" ht="31.5" x14ac:dyDescent="0.2">
      <c r="A84" s="182" t="s">
        <v>1169</v>
      </c>
      <c r="B84" s="182" t="s">
        <v>1191</v>
      </c>
    </row>
    <row r="85" spans="1:6" ht="61.5" customHeight="1" x14ac:dyDescent="0.2">
      <c r="A85" s="181" t="s">
        <v>148</v>
      </c>
      <c r="B85" s="181" t="s">
        <v>1047</v>
      </c>
    </row>
    <row r="86" spans="1:6" s="107" customFormat="1" ht="49.5" customHeight="1" x14ac:dyDescent="0.2">
      <c r="A86" s="185" t="s">
        <v>1205</v>
      </c>
      <c r="B86" s="216" t="s">
        <v>1213</v>
      </c>
      <c r="C86" s="393"/>
    </row>
    <row r="87" spans="1:6" ht="130.5" customHeight="1" x14ac:dyDescent="0.2">
      <c r="A87" s="181" t="s">
        <v>314</v>
      </c>
      <c r="B87" s="181" t="s">
        <v>1048</v>
      </c>
    </row>
    <row r="88" spans="1:6" ht="49.5" customHeight="1" x14ac:dyDescent="0.2">
      <c r="A88" s="181" t="s">
        <v>233</v>
      </c>
      <c r="B88" s="181" t="s">
        <v>1192</v>
      </c>
    </row>
    <row r="89" spans="1:6" ht="37.5" customHeight="1" x14ac:dyDescent="0.2">
      <c r="A89" s="329" t="s">
        <v>781</v>
      </c>
      <c r="B89" s="329" t="s">
        <v>837</v>
      </c>
    </row>
    <row r="90" spans="1:6" ht="31.5" x14ac:dyDescent="0.2">
      <c r="A90" s="181" t="s">
        <v>36</v>
      </c>
      <c r="B90" s="181" t="s">
        <v>778</v>
      </c>
    </row>
    <row r="91" spans="1:6" ht="66.75" customHeight="1" x14ac:dyDescent="0.2">
      <c r="A91" s="181" t="s">
        <v>255</v>
      </c>
      <c r="B91" s="181" t="s">
        <v>737</v>
      </c>
    </row>
    <row r="92" spans="1:6" ht="31.5" x14ac:dyDescent="0.2">
      <c r="A92" s="181" t="s">
        <v>505</v>
      </c>
      <c r="B92" s="181" t="s">
        <v>694</v>
      </c>
    </row>
    <row r="93" spans="1:6" ht="31.5" x14ac:dyDescent="0.2">
      <c r="A93" s="181" t="s">
        <v>506</v>
      </c>
      <c r="B93" s="181" t="s">
        <v>838</v>
      </c>
      <c r="C93" s="392"/>
    </row>
  </sheetData>
  <mergeCells count="1">
    <mergeCell ref="A1:B1"/>
  </mergeCells>
  <phoneticPr fontId="8"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80" zoomScaleNormal="80" workbookViewId="0">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75" x14ac:dyDescent="0.2"/>
  <cols>
    <col min="1" max="1" width="11.85546875" style="107" customWidth="1"/>
    <col min="2" max="2" width="44.7109375" style="110" customWidth="1"/>
    <col min="3" max="3" width="166.140625" style="108" customWidth="1"/>
    <col min="4" max="4" width="19.140625" style="107" customWidth="1"/>
    <col min="5" max="5" width="13.5703125" style="107" customWidth="1"/>
    <col min="6" max="16384" width="9.140625" style="107"/>
  </cols>
  <sheetData>
    <row r="1" spans="1:8" ht="42" customHeight="1" thickBot="1" x14ac:dyDescent="0.25">
      <c r="A1" s="907" t="s">
        <v>1055</v>
      </c>
      <c r="B1" s="909"/>
      <c r="C1" s="908"/>
    </row>
    <row r="2" spans="1:8" s="119" customFormat="1" ht="47.25" x14ac:dyDescent="0.2">
      <c r="A2" s="118" t="s">
        <v>199</v>
      </c>
      <c r="B2" s="346" t="s">
        <v>47</v>
      </c>
      <c r="C2" s="180" t="s">
        <v>48</v>
      </c>
    </row>
    <row r="3" spans="1:8" ht="38.25" customHeight="1" x14ac:dyDescent="0.2">
      <c r="A3" s="159" t="s">
        <v>198</v>
      </c>
      <c r="B3" s="347" t="s">
        <v>1056</v>
      </c>
      <c r="C3" s="182" t="s">
        <v>1057</v>
      </c>
      <c r="D3" s="119"/>
    </row>
    <row r="4" spans="1:8" s="115" customFormat="1" ht="106.5" customHeight="1" x14ac:dyDescent="0.2">
      <c r="A4" s="159" t="s">
        <v>192</v>
      </c>
      <c r="B4" s="347" t="s">
        <v>698</v>
      </c>
      <c r="C4" s="182" t="s">
        <v>882</v>
      </c>
      <c r="D4" s="119"/>
      <c r="E4" s="396"/>
    </row>
    <row r="5" spans="1:8" s="115" customFormat="1" ht="46.5" customHeight="1" x14ac:dyDescent="0.2">
      <c r="A5" s="159" t="s">
        <v>61</v>
      </c>
      <c r="B5" s="347" t="s">
        <v>703</v>
      </c>
      <c r="C5" s="350" t="s">
        <v>950</v>
      </c>
      <c r="D5" s="119"/>
    </row>
    <row r="6" spans="1:8" ht="71.25" customHeight="1" x14ac:dyDescent="0.2">
      <c r="A6" s="159" t="s">
        <v>26</v>
      </c>
      <c r="B6" s="348" t="s">
        <v>1196</v>
      </c>
      <c r="C6" s="199" t="s">
        <v>1058</v>
      </c>
      <c r="D6" s="469" t="s">
        <v>1195</v>
      </c>
    </row>
    <row r="7" spans="1:8" ht="78.75" x14ac:dyDescent="0.2">
      <c r="A7" s="159" t="s">
        <v>269</v>
      </c>
      <c r="B7" s="348" t="s">
        <v>1193</v>
      </c>
      <c r="C7" s="199" t="s">
        <v>1194</v>
      </c>
      <c r="D7" s="469" t="s">
        <v>1195</v>
      </c>
      <c r="E7" s="389"/>
    </row>
    <row r="8" spans="1:8" ht="106.5" customHeight="1" x14ac:dyDescent="0.2">
      <c r="A8" s="159" t="s">
        <v>19</v>
      </c>
      <c r="B8" s="348" t="s">
        <v>1119</v>
      </c>
      <c r="C8" s="182" t="s">
        <v>1059</v>
      </c>
      <c r="D8" s="119"/>
    </row>
    <row r="9" spans="1:8" ht="33.75" customHeight="1" x14ac:dyDescent="0.2">
      <c r="A9" s="159" t="s">
        <v>191</v>
      </c>
      <c r="B9" s="347" t="s">
        <v>216</v>
      </c>
      <c r="C9" s="182" t="s">
        <v>217</v>
      </c>
      <c r="D9" s="119"/>
    </row>
    <row r="10" spans="1:8" ht="42" customHeight="1" x14ac:dyDescent="0.2">
      <c r="A10" s="159" t="s">
        <v>935</v>
      </c>
      <c r="B10" s="347" t="s">
        <v>871</v>
      </c>
      <c r="C10" s="182" t="s">
        <v>872</v>
      </c>
      <c r="D10" s="119"/>
      <c r="E10" s="389"/>
      <c r="F10" s="389"/>
      <c r="G10" s="389"/>
      <c r="H10" s="389"/>
    </row>
    <row r="11" spans="1:8" ht="75" customHeight="1" x14ac:dyDescent="0.2">
      <c r="A11" s="159" t="s">
        <v>145</v>
      </c>
      <c r="B11" s="347" t="s">
        <v>1060</v>
      </c>
      <c r="C11" s="182" t="s">
        <v>1061</v>
      </c>
      <c r="D11" s="119"/>
      <c r="E11" s="389"/>
    </row>
    <row r="12" spans="1:8" ht="31.5" x14ac:dyDescent="0.2">
      <c r="A12" s="159" t="s">
        <v>20</v>
      </c>
      <c r="B12" s="347" t="s">
        <v>951</v>
      </c>
      <c r="C12" s="182" t="s">
        <v>1062</v>
      </c>
      <c r="D12" s="119"/>
      <c r="E12" s="389"/>
    </row>
    <row r="13" spans="1:8" ht="47.25" x14ac:dyDescent="0.2">
      <c r="A13" s="159" t="s">
        <v>155</v>
      </c>
      <c r="B13" s="347" t="s">
        <v>1063</v>
      </c>
      <c r="C13" s="182" t="s">
        <v>1064</v>
      </c>
      <c r="D13" s="119"/>
      <c r="E13" s="389"/>
    </row>
    <row r="14" spans="1:8" ht="75.75" customHeight="1" x14ac:dyDescent="0.2">
      <c r="A14" s="159" t="s">
        <v>232</v>
      </c>
      <c r="B14" s="347" t="s">
        <v>1065</v>
      </c>
      <c r="C14" s="182" t="s">
        <v>1066</v>
      </c>
      <c r="D14" s="119"/>
      <c r="E14" s="389"/>
    </row>
    <row r="15" spans="1:8" ht="41.25" customHeight="1" x14ac:dyDescent="0.2">
      <c r="A15" s="159" t="s">
        <v>21</v>
      </c>
      <c r="B15" s="347" t="s">
        <v>1067</v>
      </c>
      <c r="C15" s="182" t="s">
        <v>1068</v>
      </c>
      <c r="D15" s="119"/>
    </row>
    <row r="16" spans="1:8" ht="72.75" customHeight="1" x14ac:dyDescent="0.2">
      <c r="A16" s="159" t="s">
        <v>219</v>
      </c>
      <c r="B16" s="347" t="s">
        <v>1069</v>
      </c>
      <c r="C16" s="182" t="s">
        <v>851</v>
      </c>
      <c r="D16" s="119"/>
    </row>
    <row r="17" spans="1:8" ht="54" customHeight="1" x14ac:dyDescent="0.2">
      <c r="A17" s="159" t="s">
        <v>268</v>
      </c>
      <c r="B17" s="347" t="s">
        <v>1070</v>
      </c>
      <c r="C17" s="199" t="s">
        <v>1071</v>
      </c>
      <c r="D17" s="119"/>
    </row>
    <row r="18" spans="1:8" ht="40.5" customHeight="1" x14ac:dyDescent="0.2">
      <c r="A18" s="159" t="s">
        <v>173</v>
      </c>
      <c r="B18" s="347" t="s">
        <v>132</v>
      </c>
      <c r="C18" s="182" t="s">
        <v>753</v>
      </c>
      <c r="D18" s="119"/>
    </row>
    <row r="19" spans="1:8" ht="42.75" customHeight="1" x14ac:dyDescent="0.2">
      <c r="A19" s="159" t="s">
        <v>335</v>
      </c>
      <c r="B19" s="347" t="s">
        <v>1072</v>
      </c>
      <c r="C19" s="182" t="s">
        <v>884</v>
      </c>
      <c r="D19" s="119"/>
      <c r="E19" s="389"/>
    </row>
    <row r="20" spans="1:8" ht="41.25" customHeight="1" x14ac:dyDescent="0.2">
      <c r="A20" s="159" t="s">
        <v>22</v>
      </c>
      <c r="B20" s="347" t="s">
        <v>832</v>
      </c>
      <c r="C20" s="182" t="s">
        <v>1073</v>
      </c>
      <c r="D20" s="119"/>
      <c r="E20" s="389"/>
    </row>
    <row r="21" spans="1:8" ht="57" customHeight="1" x14ac:dyDescent="0.2">
      <c r="A21" s="159" t="s">
        <v>709</v>
      </c>
      <c r="B21" s="347" t="s">
        <v>879</v>
      </c>
      <c r="C21" s="199" t="s">
        <v>873</v>
      </c>
      <c r="D21" s="119"/>
    </row>
    <row r="22" spans="1:8" ht="38.25" customHeight="1" x14ac:dyDescent="0.2">
      <c r="A22" s="159" t="s">
        <v>710</v>
      </c>
      <c r="B22" s="347" t="s">
        <v>1121</v>
      </c>
      <c r="C22" s="199" t="s">
        <v>704</v>
      </c>
      <c r="D22" s="119"/>
    </row>
    <row r="23" spans="1:8" ht="23.25" customHeight="1" x14ac:dyDescent="0.2">
      <c r="A23" s="159" t="s">
        <v>711</v>
      </c>
      <c r="B23" s="347" t="s">
        <v>705</v>
      </c>
      <c r="C23" s="199" t="s">
        <v>706</v>
      </c>
      <c r="D23" s="119"/>
    </row>
    <row r="24" spans="1:8" ht="31.5" x14ac:dyDescent="0.2">
      <c r="A24" s="159" t="s">
        <v>712</v>
      </c>
      <c r="B24" s="347" t="s">
        <v>707</v>
      </c>
      <c r="C24" s="199" t="s">
        <v>708</v>
      </c>
      <c r="D24" s="119"/>
    </row>
    <row r="25" spans="1:8" ht="72.75" customHeight="1" x14ac:dyDescent="0.2">
      <c r="A25" s="159" t="s">
        <v>23</v>
      </c>
      <c r="B25" s="348" t="s">
        <v>1074</v>
      </c>
      <c r="C25" s="199" t="s">
        <v>1075</v>
      </c>
      <c r="D25" s="469"/>
    </row>
    <row r="26" spans="1:8" ht="78.75" x14ac:dyDescent="0.2">
      <c r="A26" s="159" t="s">
        <v>312</v>
      </c>
      <c r="B26" s="348" t="s">
        <v>903</v>
      </c>
      <c r="C26" s="199" t="s">
        <v>880</v>
      </c>
    </row>
    <row r="27" spans="1:8" ht="51.75" customHeight="1" x14ac:dyDescent="0.2">
      <c r="A27" s="159" t="s">
        <v>298</v>
      </c>
      <c r="B27" s="348" t="s">
        <v>886</v>
      </c>
      <c r="C27" s="199" t="s">
        <v>887</v>
      </c>
    </row>
    <row r="28" spans="1:8" ht="25.5" customHeight="1" x14ac:dyDescent="0.2">
      <c r="A28" s="159" t="s">
        <v>43</v>
      </c>
      <c r="B28" s="348" t="s">
        <v>1197</v>
      </c>
      <c r="C28" s="199" t="s">
        <v>823</v>
      </c>
      <c r="D28" s="556" t="s">
        <v>1195</v>
      </c>
      <c r="H28" s="107" t="s">
        <v>147</v>
      </c>
    </row>
    <row r="29" spans="1:8" ht="141.75" x14ac:dyDescent="0.2">
      <c r="A29" s="159" t="s">
        <v>45</v>
      </c>
      <c r="B29" s="348" t="s">
        <v>904</v>
      </c>
      <c r="C29" s="182" t="s">
        <v>1076</v>
      </c>
    </row>
    <row r="30" spans="1:8" ht="28.5" customHeight="1" x14ac:dyDescent="0.2">
      <c r="A30" s="159" t="s">
        <v>44</v>
      </c>
      <c r="B30" s="348" t="s">
        <v>738</v>
      </c>
      <c r="C30" s="199" t="s">
        <v>1077</v>
      </c>
      <c r="D30" s="196"/>
    </row>
    <row r="31" spans="1:8" ht="39.75" customHeight="1" x14ac:dyDescent="0.2">
      <c r="A31" s="159" t="s">
        <v>46</v>
      </c>
      <c r="B31" s="348" t="s">
        <v>905</v>
      </c>
      <c r="C31" s="199" t="s">
        <v>906</v>
      </c>
    </row>
    <row r="32" spans="1:8" s="389" customFormat="1" ht="39.75" customHeight="1" x14ac:dyDescent="0.2">
      <c r="A32" s="159" t="s">
        <v>885</v>
      </c>
      <c r="B32" s="348" t="s">
        <v>888</v>
      </c>
      <c r="C32" s="199" t="s">
        <v>889</v>
      </c>
    </row>
    <row r="33" spans="1:5" ht="49.5" customHeight="1" x14ac:dyDescent="0.2">
      <c r="A33" s="159" t="s">
        <v>146</v>
      </c>
      <c r="B33" s="347" t="s">
        <v>1158</v>
      </c>
      <c r="C33" s="554" t="s">
        <v>1210</v>
      </c>
      <c r="D33" s="556" t="s">
        <v>1195</v>
      </c>
    </row>
    <row r="34" spans="1:5" ht="51" customHeight="1" x14ac:dyDescent="0.2">
      <c r="A34" s="159" t="s">
        <v>148</v>
      </c>
      <c r="B34" s="347"/>
      <c r="C34" s="182" t="s">
        <v>1078</v>
      </c>
      <c r="D34" s="196"/>
    </row>
    <row r="35" spans="1:5" ht="70.5" customHeight="1" x14ac:dyDescent="0.2">
      <c r="A35" s="159" t="s">
        <v>247</v>
      </c>
      <c r="B35" s="349"/>
      <c r="C35" s="350" t="s">
        <v>1079</v>
      </c>
    </row>
    <row r="36" spans="1:5" ht="48.75" customHeight="1" x14ac:dyDescent="0.2">
      <c r="A36" s="159" t="s">
        <v>233</v>
      </c>
      <c r="B36" s="348" t="s">
        <v>898</v>
      </c>
      <c r="C36" s="350" t="s">
        <v>883</v>
      </c>
    </row>
    <row r="37" spans="1:5" ht="31.5" x14ac:dyDescent="0.2">
      <c r="A37" s="159" t="s">
        <v>36</v>
      </c>
      <c r="B37" s="348" t="s">
        <v>1222</v>
      </c>
      <c r="C37" s="350" t="s">
        <v>897</v>
      </c>
    </row>
    <row r="38" spans="1:5" ht="108" customHeight="1" x14ac:dyDescent="0.2">
      <c r="A38" s="159" t="s">
        <v>255</v>
      </c>
      <c r="B38" s="347" t="s">
        <v>1080</v>
      </c>
      <c r="C38" s="182" t="s">
        <v>1081</v>
      </c>
      <c r="D38" s="389"/>
    </row>
    <row r="39" spans="1:5" ht="38.25" customHeight="1" x14ac:dyDescent="0.2">
      <c r="A39" s="159" t="s">
        <v>255</v>
      </c>
      <c r="B39" s="347" t="s">
        <v>826</v>
      </c>
      <c r="C39" s="350" t="s">
        <v>1082</v>
      </c>
      <c r="D39" s="389"/>
    </row>
    <row r="40" spans="1:5" ht="47.25" customHeight="1" x14ac:dyDescent="0.2">
      <c r="A40" s="159" t="s">
        <v>255</v>
      </c>
      <c r="B40" s="347" t="s">
        <v>699</v>
      </c>
      <c r="C40" s="350" t="s">
        <v>1083</v>
      </c>
      <c r="D40" s="389"/>
    </row>
    <row r="41" spans="1:5" ht="64.5" customHeight="1" x14ac:dyDescent="0.2">
      <c r="A41" s="159" t="s">
        <v>505</v>
      </c>
      <c r="B41" s="442" t="s">
        <v>1202</v>
      </c>
      <c r="C41" s="519" t="s">
        <v>1129</v>
      </c>
      <c r="D41" s="556" t="s">
        <v>1195</v>
      </c>
      <c r="E41" s="389"/>
    </row>
    <row r="42" spans="1:5" ht="32.25" thickBot="1" x14ac:dyDescent="0.25">
      <c r="A42" s="434" t="s">
        <v>506</v>
      </c>
      <c r="B42" s="435" t="s">
        <v>1201</v>
      </c>
      <c r="C42" s="520" t="s">
        <v>1129</v>
      </c>
      <c r="D42" s="556" t="s">
        <v>1195</v>
      </c>
      <c r="E42" s="389"/>
    </row>
    <row r="43" spans="1:5" x14ac:dyDescent="0.2">
      <c r="B43" s="109"/>
      <c r="D43" s="389"/>
    </row>
    <row r="44" spans="1:5" x14ac:dyDescent="0.2">
      <c r="B44" s="109"/>
      <c r="D44" s="389"/>
    </row>
    <row r="45" spans="1:5" x14ac:dyDescent="0.2">
      <c r="B45" s="109"/>
    </row>
    <row r="46" spans="1:5" x14ac:dyDescent="0.2">
      <c r="B46" s="360"/>
    </row>
    <row r="47" spans="1:5" x14ac:dyDescent="0.2">
      <c r="B47" s="109"/>
    </row>
    <row r="48" spans="1:5" x14ac:dyDescent="0.2">
      <c r="B48" s="109"/>
    </row>
    <row r="49" spans="2:2" x14ac:dyDescent="0.2">
      <c r="B49" s="109"/>
    </row>
    <row r="50" spans="2:2" x14ac:dyDescent="0.2">
      <c r="B50" s="109"/>
    </row>
    <row r="51" spans="2:2" x14ac:dyDescent="0.2">
      <c r="B51" s="109"/>
    </row>
    <row r="52" spans="2:2" x14ac:dyDescent="0.2">
      <c r="B52" s="109"/>
    </row>
    <row r="53" spans="2:2" x14ac:dyDescent="0.2">
      <c r="B53" s="109"/>
    </row>
    <row r="54" spans="2:2" x14ac:dyDescent="0.2">
      <c r="B54" s="109"/>
    </row>
    <row r="55" spans="2:2" x14ac:dyDescent="0.2">
      <c r="B55" s="109"/>
    </row>
    <row r="56" spans="2:2" x14ac:dyDescent="0.2">
      <c r="B56" s="109"/>
    </row>
    <row r="57" spans="2:2" x14ac:dyDescent="0.2">
      <c r="B57" s="109"/>
    </row>
  </sheetData>
  <mergeCells count="1">
    <mergeCell ref="A1:C1"/>
  </mergeCells>
  <phoneticPr fontId="8"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9"/>
  <sheetViews>
    <sheetView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RowHeight="12.75" x14ac:dyDescent="0.2"/>
  <cols>
    <col min="2" max="2" width="58.85546875" customWidth="1"/>
    <col min="3" max="3" width="22" customWidth="1"/>
    <col min="6" max="6" width="10" customWidth="1"/>
  </cols>
  <sheetData>
    <row r="1" spans="1:5" ht="30.75" customHeight="1" thickBot="1" x14ac:dyDescent="0.25">
      <c r="A1" s="910" t="s">
        <v>799</v>
      </c>
      <c r="B1" s="911"/>
      <c r="C1" s="912"/>
      <c r="D1" s="252"/>
    </row>
    <row r="2" spans="1:5" ht="29.25" customHeight="1" thickBot="1" x14ac:dyDescent="0.25">
      <c r="A2" s="302" t="s">
        <v>782</v>
      </c>
      <c r="B2" s="303" t="s">
        <v>783</v>
      </c>
      <c r="C2" s="304" t="s">
        <v>784</v>
      </c>
    </row>
    <row r="3" spans="1:5" ht="24" customHeight="1" x14ac:dyDescent="0.2">
      <c r="A3" s="301">
        <v>1</v>
      </c>
      <c r="B3" s="314" t="s">
        <v>791</v>
      </c>
      <c r="C3" s="305">
        <v>38623</v>
      </c>
    </row>
    <row r="4" spans="1:5" ht="24" customHeight="1" x14ac:dyDescent="0.2">
      <c r="A4" s="299">
        <v>4</v>
      </c>
      <c r="B4" s="313" t="s">
        <v>790</v>
      </c>
      <c r="C4" s="306">
        <v>39326</v>
      </c>
    </row>
    <row r="5" spans="1:5" ht="24" customHeight="1" x14ac:dyDescent="0.2">
      <c r="A5" s="299">
        <v>5</v>
      </c>
      <c r="B5" s="313" t="s">
        <v>785</v>
      </c>
      <c r="C5" s="306">
        <v>39326</v>
      </c>
    </row>
    <row r="6" spans="1:5" ht="24" customHeight="1" x14ac:dyDescent="0.2">
      <c r="A6" s="299">
        <v>6</v>
      </c>
      <c r="B6" s="313" t="s">
        <v>788</v>
      </c>
      <c r="C6" s="306">
        <v>39326</v>
      </c>
    </row>
    <row r="7" spans="1:5" ht="32.25" customHeight="1" x14ac:dyDescent="0.2">
      <c r="A7" s="299">
        <v>7</v>
      </c>
      <c r="B7" s="313" t="s">
        <v>787</v>
      </c>
      <c r="C7" s="306">
        <v>39326</v>
      </c>
    </row>
    <row r="8" spans="1:5" ht="24" customHeight="1" x14ac:dyDescent="0.2">
      <c r="A8" s="299">
        <v>8</v>
      </c>
      <c r="B8" s="313" t="s">
        <v>786</v>
      </c>
      <c r="C8" s="306">
        <v>39326</v>
      </c>
    </row>
    <row r="9" spans="1:5" ht="24" customHeight="1" x14ac:dyDescent="0.2">
      <c r="A9" s="299">
        <v>9</v>
      </c>
      <c r="B9" s="298" t="s">
        <v>793</v>
      </c>
      <c r="C9" s="306">
        <v>39326</v>
      </c>
    </row>
    <row r="10" spans="1:5" ht="24" customHeight="1" x14ac:dyDescent="0.2">
      <c r="A10" s="299">
        <v>10</v>
      </c>
      <c r="B10" s="510" t="s">
        <v>797</v>
      </c>
      <c r="C10" s="306">
        <v>40245</v>
      </c>
      <c r="D10" s="474" t="s">
        <v>801</v>
      </c>
      <c r="E10" s="361" t="s">
        <v>1108</v>
      </c>
    </row>
    <row r="11" spans="1:5" ht="24" customHeight="1" x14ac:dyDescent="0.2">
      <c r="A11" s="299">
        <v>11</v>
      </c>
      <c r="B11" s="510" t="s">
        <v>796</v>
      </c>
      <c r="C11" s="306">
        <v>40245</v>
      </c>
      <c r="D11" s="474" t="s">
        <v>801</v>
      </c>
      <c r="E11" s="361" t="s">
        <v>1108</v>
      </c>
    </row>
    <row r="12" spans="1:5" ht="24" customHeight="1" x14ac:dyDescent="0.2">
      <c r="A12" s="557">
        <v>12</v>
      </c>
      <c r="B12" s="475" t="s">
        <v>1111</v>
      </c>
      <c r="C12" s="306">
        <v>40245</v>
      </c>
      <c r="D12" s="474" t="s">
        <v>801</v>
      </c>
      <c r="E12" s="252" t="s">
        <v>1223</v>
      </c>
    </row>
    <row r="13" spans="1:5" ht="24" customHeight="1" x14ac:dyDescent="0.2">
      <c r="A13" s="557">
        <v>13</v>
      </c>
      <c r="B13" s="475" t="s">
        <v>795</v>
      </c>
      <c r="C13" s="306">
        <v>40245</v>
      </c>
      <c r="D13" s="299" t="s">
        <v>801</v>
      </c>
      <c r="E13" s="252" t="s">
        <v>1223</v>
      </c>
    </row>
    <row r="14" spans="1:5" ht="24" customHeight="1" x14ac:dyDescent="0.2">
      <c r="A14" s="299">
        <v>14</v>
      </c>
      <c r="B14" s="312" t="s">
        <v>1109</v>
      </c>
      <c r="C14" s="306">
        <v>40245</v>
      </c>
      <c r="D14" s="299" t="s">
        <v>801</v>
      </c>
    </row>
    <row r="15" spans="1:5" ht="24" customHeight="1" x14ac:dyDescent="0.2">
      <c r="A15" s="299">
        <v>15</v>
      </c>
      <c r="B15" s="510" t="s">
        <v>798</v>
      </c>
      <c r="C15" s="306">
        <v>40245</v>
      </c>
      <c r="D15" s="474" t="s">
        <v>801</v>
      </c>
      <c r="E15" s="361" t="s">
        <v>1108</v>
      </c>
    </row>
    <row r="16" spans="1:5" ht="24" customHeight="1" x14ac:dyDescent="0.2">
      <c r="A16" s="299">
        <v>16</v>
      </c>
      <c r="B16" s="312" t="s">
        <v>1110</v>
      </c>
      <c r="C16" s="306">
        <v>40245</v>
      </c>
      <c r="D16" s="299" t="s">
        <v>801</v>
      </c>
      <c r="E16" s="361" t="s">
        <v>1112</v>
      </c>
    </row>
    <row r="17" spans="1:4" ht="24" customHeight="1" x14ac:dyDescent="0.2">
      <c r="A17" s="299">
        <v>17</v>
      </c>
      <c r="B17" s="312" t="s">
        <v>792</v>
      </c>
      <c r="C17" s="306">
        <v>40245</v>
      </c>
      <c r="D17" s="299" t="s">
        <v>801</v>
      </c>
    </row>
    <row r="18" spans="1:4" ht="24" customHeight="1" x14ac:dyDescent="0.2">
      <c r="A18" s="299">
        <v>18</v>
      </c>
      <c r="B18" s="298" t="s">
        <v>794</v>
      </c>
      <c r="C18" s="306">
        <v>40245</v>
      </c>
    </row>
    <row r="19" spans="1:4" ht="24" customHeight="1" thickBot="1" x14ac:dyDescent="0.25">
      <c r="A19" s="300">
        <v>19</v>
      </c>
      <c r="B19" s="313" t="s">
        <v>789</v>
      </c>
      <c r="C19" s="307">
        <v>41275</v>
      </c>
    </row>
  </sheetData>
  <mergeCells count="1">
    <mergeCell ref="A1:C1"/>
  </mergeCells>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K33"/>
  <sheetViews>
    <sheetView zoomScale="90" zoomScaleNormal="90" workbookViewId="0">
      <pane xSplit="2" ySplit="4" topLeftCell="C5" activePane="bottomRight" state="frozen"/>
      <selection pane="topRight" activeCell="C1" sqref="C1"/>
      <selection pane="bottomLeft" activeCell="A5" sqref="A5"/>
      <selection pane="bottomRight" activeCell="E20" sqref="E19:E20"/>
    </sheetView>
  </sheetViews>
  <sheetFormatPr defaultColWidth="9.140625" defaultRowHeight="15.75" x14ac:dyDescent="0.2"/>
  <cols>
    <col min="1" max="1" width="9.140625" style="23" customWidth="1"/>
    <col min="2" max="2" width="77.85546875" style="48" customWidth="1"/>
    <col min="3" max="5" width="17.42578125" style="18" customWidth="1"/>
    <col min="6" max="6" width="11" style="18" customWidth="1"/>
    <col min="7" max="16384" width="9.140625" style="18"/>
  </cols>
  <sheetData>
    <row r="1" spans="1:10" s="17" customFormat="1" ht="87" customHeight="1" thickBot="1" x14ac:dyDescent="0.25">
      <c r="A1" s="913" t="s">
        <v>991</v>
      </c>
      <c r="B1" s="914"/>
      <c r="C1" s="914"/>
      <c r="D1" s="914"/>
      <c r="E1" s="915"/>
    </row>
    <row r="2" spans="1:10" s="17" customFormat="1" ht="35.1" customHeight="1" x14ac:dyDescent="0.2">
      <c r="A2" s="916" t="s">
        <v>363</v>
      </c>
      <c r="B2" s="917"/>
      <c r="C2" s="917"/>
      <c r="D2" s="917"/>
      <c r="E2" s="918"/>
    </row>
    <row r="3" spans="1:10" ht="43.5" customHeight="1" x14ac:dyDescent="0.2">
      <c r="A3" s="382" t="s">
        <v>180</v>
      </c>
      <c r="B3" s="384" t="s">
        <v>179</v>
      </c>
      <c r="C3" s="383" t="s">
        <v>275</v>
      </c>
      <c r="D3" s="383" t="s">
        <v>276</v>
      </c>
      <c r="E3" s="33" t="s">
        <v>202</v>
      </c>
    </row>
    <row r="4" spans="1:10" ht="17.25" customHeight="1" x14ac:dyDescent="0.2">
      <c r="A4" s="29"/>
      <c r="B4" s="322"/>
      <c r="C4" s="36" t="s">
        <v>257</v>
      </c>
      <c r="D4" s="36" t="s">
        <v>258</v>
      </c>
      <c r="E4" s="37" t="s">
        <v>29</v>
      </c>
    </row>
    <row r="5" spans="1:10" x14ac:dyDescent="0.2">
      <c r="A5" s="29">
        <v>1</v>
      </c>
      <c r="B5" s="322" t="s">
        <v>330</v>
      </c>
      <c r="C5" s="49">
        <f>C6</f>
        <v>45541855.240000002</v>
      </c>
      <c r="D5" s="49">
        <f>D6</f>
        <v>5170207</v>
      </c>
      <c r="E5" s="50">
        <f t="shared" ref="E5:E6" si="0">SUM(C5:D5)</f>
        <v>50712062.240000002</v>
      </c>
      <c r="F5" s="483"/>
    </row>
    <row r="6" spans="1:10" x14ac:dyDescent="0.2">
      <c r="A6" s="29">
        <f>A5+1</f>
        <v>2</v>
      </c>
      <c r="B6" s="26" t="s">
        <v>241</v>
      </c>
      <c r="C6" s="51">
        <v>45541855.240000002</v>
      </c>
      <c r="D6" s="485">
        <v>5170207</v>
      </c>
      <c r="E6" s="50">
        <f t="shared" si="0"/>
        <v>50712062.240000002</v>
      </c>
      <c r="F6" s="486" t="s">
        <v>1216</v>
      </c>
      <c r="G6" s="492"/>
      <c r="H6" s="492"/>
      <c r="I6" s="492"/>
      <c r="J6" s="492"/>
    </row>
    <row r="7" spans="1:10" ht="15.75" customHeight="1" x14ac:dyDescent="0.2">
      <c r="A7" s="29">
        <f>A6+1</f>
        <v>3</v>
      </c>
      <c r="B7" s="322" t="s">
        <v>331</v>
      </c>
      <c r="C7" s="49">
        <f>SUM(C8:C12)</f>
        <v>16054814.850000001</v>
      </c>
      <c r="D7" s="49">
        <f>SUM(D8:D12)</f>
        <v>0</v>
      </c>
      <c r="E7" s="50">
        <f>SUM(C7:D7)</f>
        <v>16054814.850000001</v>
      </c>
    </row>
    <row r="8" spans="1:10" x14ac:dyDescent="0.2">
      <c r="A8" s="29">
        <f t="shared" ref="A8:A19" si="1">A7+1</f>
        <v>4</v>
      </c>
      <c r="B8" s="26" t="s">
        <v>242</v>
      </c>
      <c r="C8" s="573">
        <f>'[2]súhrnná po AS'!$S$48</f>
        <v>13870133.850000001</v>
      </c>
      <c r="D8" s="316" t="s">
        <v>285</v>
      </c>
      <c r="E8" s="50">
        <f t="shared" ref="E8:E19" si="2">SUM(C8:D8)</f>
        <v>13870133.850000001</v>
      </c>
    </row>
    <row r="9" spans="1:10" x14ac:dyDescent="0.2">
      <c r="A9" s="29">
        <f t="shared" si="1"/>
        <v>5</v>
      </c>
      <c r="B9" s="26" t="s">
        <v>243</v>
      </c>
      <c r="C9" s="573">
        <f>'[2]súhrnná po AS'!$S$71</f>
        <v>1804555</v>
      </c>
      <c r="D9" s="316" t="s">
        <v>285</v>
      </c>
      <c r="E9" s="50">
        <f t="shared" si="2"/>
        <v>1804555</v>
      </c>
    </row>
    <row r="10" spans="1:10" x14ac:dyDescent="0.2">
      <c r="A10" s="29">
        <f t="shared" si="1"/>
        <v>6</v>
      </c>
      <c r="B10" s="26" t="s">
        <v>244</v>
      </c>
      <c r="C10" s="316" t="s">
        <v>285</v>
      </c>
      <c r="D10" s="316" t="s">
        <v>285</v>
      </c>
      <c r="E10" s="50">
        <f t="shared" si="2"/>
        <v>0</v>
      </c>
    </row>
    <row r="11" spans="1:10" x14ac:dyDescent="0.2">
      <c r="A11" s="29">
        <f t="shared" si="1"/>
        <v>7</v>
      </c>
      <c r="B11" s="26" t="s">
        <v>245</v>
      </c>
      <c r="C11" s="316" t="s">
        <v>285</v>
      </c>
      <c r="D11" s="316" t="s">
        <v>285</v>
      </c>
      <c r="E11" s="50">
        <f t="shared" si="2"/>
        <v>0</v>
      </c>
    </row>
    <row r="12" spans="1:10" x14ac:dyDescent="0.2">
      <c r="A12" s="29">
        <f t="shared" si="1"/>
        <v>8</v>
      </c>
      <c r="B12" s="26" t="s">
        <v>133</v>
      </c>
      <c r="C12" s="573">
        <f>'[2]súhrnná po AS'!$S$72</f>
        <v>380126</v>
      </c>
      <c r="D12" s="316" t="s">
        <v>285</v>
      </c>
      <c r="E12" s="50">
        <f t="shared" si="2"/>
        <v>380126</v>
      </c>
    </row>
    <row r="13" spans="1:10" ht="15.75" customHeight="1" x14ac:dyDescent="0.2">
      <c r="A13" s="29">
        <f t="shared" si="1"/>
        <v>9</v>
      </c>
      <c r="B13" s="322" t="s">
        <v>332</v>
      </c>
      <c r="C13" s="49">
        <f>C14</f>
        <v>88699</v>
      </c>
      <c r="D13" s="49">
        <f>D14</f>
        <v>0</v>
      </c>
      <c r="E13" s="50">
        <f t="shared" si="2"/>
        <v>88699</v>
      </c>
    </row>
    <row r="14" spans="1:10" x14ac:dyDescent="0.2">
      <c r="A14" s="29">
        <f t="shared" si="1"/>
        <v>10</v>
      </c>
      <c r="B14" s="26" t="s">
        <v>134</v>
      </c>
      <c r="C14" s="573">
        <f>'[2]súhrnná po AS'!$S$73</f>
        <v>88699</v>
      </c>
      <c r="D14" s="51">
        <v>0</v>
      </c>
      <c r="E14" s="50">
        <f t="shared" si="2"/>
        <v>88699</v>
      </c>
    </row>
    <row r="15" spans="1:10" x14ac:dyDescent="0.2">
      <c r="A15" s="29">
        <f t="shared" si="1"/>
        <v>11</v>
      </c>
      <c r="B15" s="322" t="s">
        <v>333</v>
      </c>
      <c r="C15" s="49">
        <f>SUM(C16:C18)</f>
        <v>6352262.3300000001</v>
      </c>
      <c r="D15" s="49">
        <f>SUM(D16:D18)</f>
        <v>0</v>
      </c>
      <c r="E15" s="50">
        <f t="shared" si="2"/>
        <v>6352262.3300000001</v>
      </c>
    </row>
    <row r="16" spans="1:10" x14ac:dyDescent="0.2">
      <c r="A16" s="29">
        <f t="shared" si="1"/>
        <v>12</v>
      </c>
      <c r="B16" s="26" t="s">
        <v>135</v>
      </c>
      <c r="C16" s="573">
        <f>'[2]súhrnná po AS'!$S$76</f>
        <v>730978</v>
      </c>
      <c r="D16" s="316" t="s">
        <v>285</v>
      </c>
      <c r="E16" s="50">
        <f t="shared" si="2"/>
        <v>730978</v>
      </c>
    </row>
    <row r="17" spans="1:11" x14ac:dyDescent="0.2">
      <c r="A17" s="29">
        <f t="shared" si="1"/>
        <v>13</v>
      </c>
      <c r="B17" s="26" t="s">
        <v>136</v>
      </c>
      <c r="C17" s="573">
        <f>'[2]súhrnná po AS'!$S$77+'[2]súhrnná po AS'!$S$78</f>
        <v>1749019</v>
      </c>
      <c r="D17" s="316" t="s">
        <v>285</v>
      </c>
      <c r="E17" s="50">
        <f t="shared" si="2"/>
        <v>1749019</v>
      </c>
    </row>
    <row r="18" spans="1:11" x14ac:dyDescent="0.2">
      <c r="A18" s="29">
        <f t="shared" si="1"/>
        <v>14</v>
      </c>
      <c r="B18" s="26" t="s">
        <v>137</v>
      </c>
      <c r="C18" s="573">
        <f>'[2]súhrnná po AS'!$S$80+'[2]súhrnná po AS'!$S$89+15000</f>
        <v>3872265.33</v>
      </c>
      <c r="D18" s="316" t="s">
        <v>285</v>
      </c>
      <c r="E18" s="50">
        <f t="shared" si="2"/>
        <v>3872265.33</v>
      </c>
    </row>
    <row r="19" spans="1:11" ht="16.5" thickBot="1" x14ac:dyDescent="0.25">
      <c r="A19" s="30">
        <f t="shared" si="1"/>
        <v>15</v>
      </c>
      <c r="B19" s="46" t="s">
        <v>334</v>
      </c>
      <c r="C19" s="52">
        <f>C5+C7+C13+C15</f>
        <v>68037631.420000002</v>
      </c>
      <c r="D19" s="52">
        <f>D5+D7+D13+D15</f>
        <v>5170207</v>
      </c>
      <c r="E19" s="53">
        <f t="shared" si="2"/>
        <v>73207838.420000002</v>
      </c>
    </row>
    <row r="20" spans="1:11" x14ac:dyDescent="0.2">
      <c r="A20" s="19"/>
      <c r="B20" s="47"/>
      <c r="C20" s="21"/>
      <c r="D20" s="21"/>
    </row>
    <row r="21" spans="1:11" x14ac:dyDescent="0.2">
      <c r="A21" s="22"/>
      <c r="B21" s="120"/>
      <c r="C21" s="638"/>
    </row>
    <row r="22" spans="1:11" x14ac:dyDescent="0.2">
      <c r="C22" s="639"/>
    </row>
    <row r="23" spans="1:11" x14ac:dyDescent="0.2">
      <c r="B23" s="48" t="s">
        <v>147</v>
      </c>
      <c r="C23" s="638"/>
      <c r="G23" s="921"/>
      <c r="H23" s="921"/>
      <c r="I23" s="921"/>
      <c r="J23" s="921"/>
      <c r="K23" s="921"/>
    </row>
    <row r="24" spans="1:11" ht="16.5" thickBot="1" x14ac:dyDescent="0.25">
      <c r="C24" s="638"/>
    </row>
    <row r="25" spans="1:11" x14ac:dyDescent="0.2">
      <c r="C25" s="919"/>
      <c r="D25" s="920"/>
      <c r="E25" s="640"/>
    </row>
    <row r="26" spans="1:11" x14ac:dyDescent="0.2">
      <c r="C26" s="641"/>
      <c r="D26" s="21"/>
      <c r="E26" s="642"/>
      <c r="F26" s="638"/>
    </row>
    <row r="27" spans="1:11" x14ac:dyDescent="0.2">
      <c r="C27" s="643"/>
      <c r="D27" s="644"/>
      <c r="E27" s="642"/>
    </row>
    <row r="28" spans="1:11" x14ac:dyDescent="0.2">
      <c r="C28" s="645"/>
      <c r="D28" s="21"/>
      <c r="E28" s="642"/>
    </row>
    <row r="29" spans="1:11" x14ac:dyDescent="0.2">
      <c r="C29" s="641"/>
      <c r="D29" s="644"/>
      <c r="E29" s="642"/>
    </row>
    <row r="30" spans="1:11" x14ac:dyDescent="0.2">
      <c r="C30" s="641"/>
      <c r="D30" s="644"/>
      <c r="E30" s="642"/>
      <c r="F30" s="638"/>
    </row>
    <row r="31" spans="1:11" ht="16.5" thickBot="1" x14ac:dyDescent="0.25">
      <c r="C31" s="646"/>
      <c r="D31" s="647"/>
      <c r="E31" s="648"/>
    </row>
    <row r="32" spans="1:11" x14ac:dyDescent="0.2">
      <c r="E32" s="638"/>
    </row>
    <row r="33" spans="5:5" x14ac:dyDescent="0.2">
      <c r="E33" s="638"/>
    </row>
  </sheetData>
  <sheetProtection selectLockedCells="1"/>
  <protectedRanges>
    <protectedRange sqref="D14 C6:D6 C10:D11 D16:D18 D8:D9 D12" name="Rozsah2"/>
    <protectedRange sqref="C19:D19" name="Rozsah1"/>
    <protectedRange sqref="C8:C9" name="Rozsah2_1"/>
    <protectedRange sqref="C12" name="Rozsah2_2"/>
    <protectedRange sqref="C14" name="Rozsah2_3"/>
    <protectedRange sqref="C16 C18" name="Rozsah2_4"/>
  </protectedRanges>
  <mergeCells count="4">
    <mergeCell ref="A1:E1"/>
    <mergeCell ref="A2:E2"/>
    <mergeCell ref="C25:D25"/>
    <mergeCell ref="G23:K23"/>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120"/>
  <sheetViews>
    <sheetView zoomScale="70" zoomScaleNormal="70" workbookViewId="0">
      <pane xSplit="2" ySplit="4" topLeftCell="C5" activePane="bottomRight" state="frozen"/>
      <selection pane="topRight" activeCell="C1" sqref="C1"/>
      <selection pane="bottomLeft" activeCell="A5" sqref="A5"/>
      <selection pane="bottomRight" activeCell="B20" sqref="B20"/>
    </sheetView>
  </sheetViews>
  <sheetFormatPr defaultColWidth="9.140625" defaultRowHeight="15.75" x14ac:dyDescent="0.25"/>
  <cols>
    <col min="1" max="1" width="10.140625" style="707" customWidth="1"/>
    <col min="2" max="2" width="83" style="708" customWidth="1"/>
    <col min="3" max="3" width="17.28515625" style="683" customWidth="1"/>
    <col min="4" max="4" width="14.28515625" style="683" customWidth="1"/>
    <col min="5" max="5" width="18.5703125" style="683" customWidth="1"/>
    <col min="6" max="6" width="15.140625" style="683" customWidth="1"/>
    <col min="7" max="7" width="15.140625" style="683" bestFit="1" customWidth="1"/>
    <col min="8" max="8" width="24.28515625" style="683" customWidth="1"/>
    <col min="9" max="9" width="21.28515625" style="683" customWidth="1"/>
    <col min="10" max="16384" width="9.140625" style="683"/>
  </cols>
  <sheetData>
    <row r="1" spans="1:6" ht="50.1" customHeight="1" thickBot="1" x14ac:dyDescent="0.3">
      <c r="A1" s="922" t="s">
        <v>992</v>
      </c>
      <c r="B1" s="923"/>
      <c r="C1" s="923"/>
      <c r="D1" s="923"/>
      <c r="E1" s="924"/>
      <c r="F1" s="682"/>
    </row>
    <row r="2" spans="1:6" s="684" customFormat="1" ht="38.25" customHeight="1" x14ac:dyDescent="0.2">
      <c r="A2" s="925" t="s">
        <v>364</v>
      </c>
      <c r="B2" s="926"/>
      <c r="C2" s="926"/>
      <c r="D2" s="926"/>
      <c r="E2" s="927"/>
    </row>
    <row r="3" spans="1:6" s="688" customFormat="1" ht="35.25" customHeight="1" x14ac:dyDescent="0.25">
      <c r="A3" s="685" t="s">
        <v>180</v>
      </c>
      <c r="B3" s="686" t="s">
        <v>299</v>
      </c>
      <c r="C3" s="686" t="s">
        <v>275</v>
      </c>
      <c r="D3" s="686" t="s">
        <v>276</v>
      </c>
      <c r="E3" s="687" t="s">
        <v>202</v>
      </c>
    </row>
    <row r="4" spans="1:6" s="693" customFormat="1" ht="17.25" customHeight="1" x14ac:dyDescent="0.2">
      <c r="A4" s="689"/>
      <c r="B4" s="690"/>
      <c r="C4" s="691" t="s">
        <v>257</v>
      </c>
      <c r="D4" s="691" t="s">
        <v>258</v>
      </c>
      <c r="E4" s="692" t="s">
        <v>29</v>
      </c>
    </row>
    <row r="5" spans="1:6" ht="31.5" x14ac:dyDescent="0.25">
      <c r="A5" s="694">
        <v>1</v>
      </c>
      <c r="B5" s="695" t="s">
        <v>741</v>
      </c>
      <c r="C5" s="734">
        <f>SUM(C6:C7)</f>
        <v>770439</v>
      </c>
      <c r="D5" s="734">
        <f>SUM(D6:D7)</f>
        <v>0</v>
      </c>
      <c r="E5" s="735">
        <f>C5+D5</f>
        <v>770439</v>
      </c>
    </row>
    <row r="6" spans="1:6" x14ac:dyDescent="0.25">
      <c r="A6" s="694" t="s">
        <v>289</v>
      </c>
      <c r="B6" s="696" t="s">
        <v>1242</v>
      </c>
      <c r="C6" s="665">
        <f>14220+5200+7000+2000</f>
        <v>28420</v>
      </c>
      <c r="D6" s="665"/>
      <c r="E6" s="735">
        <f t="shared" ref="E6:E7" si="0">C6+D6</f>
        <v>28420</v>
      </c>
    </row>
    <row r="7" spans="1:6" x14ac:dyDescent="0.25">
      <c r="A7" s="694" t="s">
        <v>356</v>
      </c>
      <c r="B7" s="696" t="s">
        <v>1283</v>
      </c>
      <c r="C7" s="665">
        <v>742019</v>
      </c>
      <c r="D7" s="665"/>
      <c r="E7" s="735">
        <f t="shared" si="0"/>
        <v>742019</v>
      </c>
      <c r="F7" s="702"/>
    </row>
    <row r="8" spans="1:6" x14ac:dyDescent="0.25">
      <c r="A8" s="694"/>
      <c r="B8" s="696"/>
      <c r="C8" s="665"/>
      <c r="D8" s="665"/>
      <c r="E8" s="735"/>
    </row>
    <row r="9" spans="1:6" x14ac:dyDescent="0.25">
      <c r="A9" s="694">
        <v>2</v>
      </c>
      <c r="B9" s="695" t="s">
        <v>70</v>
      </c>
      <c r="C9" s="734">
        <f>SUM(C10:C16)</f>
        <v>176535</v>
      </c>
      <c r="D9" s="734">
        <f>SUM(D10:D16)</f>
        <v>0</v>
      </c>
      <c r="E9" s="735">
        <f t="shared" ref="E9:E33" si="1">C9+D9</f>
        <v>176535</v>
      </c>
    </row>
    <row r="10" spans="1:6" x14ac:dyDescent="0.25">
      <c r="A10" s="694" t="s">
        <v>290</v>
      </c>
      <c r="B10" s="696" t="s">
        <v>1243</v>
      </c>
      <c r="C10" s="665">
        <v>3500</v>
      </c>
      <c r="D10" s="665"/>
      <c r="E10" s="735">
        <f t="shared" si="1"/>
        <v>3500</v>
      </c>
    </row>
    <row r="11" spans="1:6" x14ac:dyDescent="0.25">
      <c r="A11" s="694" t="s">
        <v>357</v>
      </c>
      <c r="B11" s="696" t="s">
        <v>1244</v>
      </c>
      <c r="C11" s="665">
        <v>1000</v>
      </c>
      <c r="D11" s="665"/>
      <c r="E11" s="735">
        <f t="shared" si="1"/>
        <v>1000</v>
      </c>
    </row>
    <row r="12" spans="1:6" x14ac:dyDescent="0.25">
      <c r="A12" s="694" t="s">
        <v>1245</v>
      </c>
      <c r="B12" s="696" t="s">
        <v>1246</v>
      </c>
      <c r="C12" s="665">
        <v>58221</v>
      </c>
      <c r="D12" s="665"/>
      <c r="E12" s="735">
        <f t="shared" si="1"/>
        <v>58221</v>
      </c>
    </row>
    <row r="13" spans="1:6" x14ac:dyDescent="0.25">
      <c r="A13" s="694" t="s">
        <v>1247</v>
      </c>
      <c r="B13" s="696" t="s">
        <v>1248</v>
      </c>
      <c r="C13" s="665">
        <v>24000</v>
      </c>
      <c r="D13" s="665"/>
      <c r="E13" s="735">
        <f t="shared" si="1"/>
        <v>24000</v>
      </c>
    </row>
    <row r="14" spans="1:6" x14ac:dyDescent="0.25">
      <c r="A14" s="694" t="s">
        <v>1249</v>
      </c>
      <c r="B14" s="696" t="s">
        <v>1250</v>
      </c>
      <c r="C14" s="665">
        <v>2160</v>
      </c>
      <c r="D14" s="665"/>
      <c r="E14" s="735">
        <f t="shared" si="1"/>
        <v>2160</v>
      </c>
    </row>
    <row r="15" spans="1:6" x14ac:dyDescent="0.25">
      <c r="A15" s="694" t="s">
        <v>1251</v>
      </c>
      <c r="B15" s="696" t="s">
        <v>1252</v>
      </c>
      <c r="C15" s="665">
        <v>2352</v>
      </c>
      <c r="D15" s="665"/>
      <c r="E15" s="735">
        <f t="shared" si="1"/>
        <v>2352</v>
      </c>
    </row>
    <row r="16" spans="1:6" x14ac:dyDescent="0.25">
      <c r="A16" s="694" t="s">
        <v>1253</v>
      </c>
      <c r="B16" s="696" t="s">
        <v>1254</v>
      </c>
      <c r="C16" s="665">
        <v>85302</v>
      </c>
      <c r="D16" s="665"/>
      <c r="E16" s="735">
        <f t="shared" si="1"/>
        <v>85302</v>
      </c>
    </row>
    <row r="17" spans="1:8" x14ac:dyDescent="0.25">
      <c r="A17" s="694"/>
      <c r="B17" s="696"/>
      <c r="C17" s="665"/>
      <c r="D17" s="665"/>
      <c r="E17" s="735">
        <f t="shared" si="1"/>
        <v>0</v>
      </c>
    </row>
    <row r="18" spans="1:8" x14ac:dyDescent="0.25">
      <c r="A18" s="694">
        <v>3</v>
      </c>
      <c r="B18" s="695" t="s">
        <v>237</v>
      </c>
      <c r="C18" s="734">
        <f>SUM(C19:C20)</f>
        <v>532735.79</v>
      </c>
      <c r="D18" s="734">
        <f>SUM(D19:D20)</f>
        <v>43000</v>
      </c>
      <c r="E18" s="735">
        <f t="shared" si="1"/>
        <v>575735.79</v>
      </c>
      <c r="G18" s="702"/>
      <c r="H18" s="702"/>
    </row>
    <row r="19" spans="1:8" x14ac:dyDescent="0.25">
      <c r="A19" s="694" t="s">
        <v>291</v>
      </c>
      <c r="B19" s="697" t="s">
        <v>1255</v>
      </c>
      <c r="C19" s="665">
        <v>307109.28999999998</v>
      </c>
      <c r="D19" s="665">
        <v>43000</v>
      </c>
      <c r="E19" s="735">
        <f t="shared" si="1"/>
        <v>350109.29</v>
      </c>
      <c r="H19" s="702"/>
    </row>
    <row r="20" spans="1:8" x14ac:dyDescent="0.25">
      <c r="A20" s="694" t="s">
        <v>358</v>
      </c>
      <c r="B20" s="697" t="s">
        <v>1256</v>
      </c>
      <c r="C20" s="665">
        <v>225626.5</v>
      </c>
      <c r="D20" s="665"/>
      <c r="E20" s="735">
        <f t="shared" si="1"/>
        <v>225626.5</v>
      </c>
      <c r="F20" s="702"/>
    </row>
    <row r="21" spans="1:8" x14ac:dyDescent="0.25">
      <c r="A21" s="694"/>
      <c r="B21" s="696"/>
      <c r="C21" s="665"/>
      <c r="D21" s="665"/>
      <c r="E21" s="735">
        <f t="shared" si="1"/>
        <v>0</v>
      </c>
    </row>
    <row r="22" spans="1:8" x14ac:dyDescent="0.25">
      <c r="A22" s="694">
        <v>4</v>
      </c>
      <c r="B22" s="695" t="s">
        <v>238</v>
      </c>
      <c r="C22" s="734">
        <f>SUM(C23:C31)</f>
        <v>2962977.49</v>
      </c>
      <c r="D22" s="734">
        <f>SUM(D23:D24)</f>
        <v>25760</v>
      </c>
      <c r="E22" s="735">
        <f t="shared" si="1"/>
        <v>2988737.49</v>
      </c>
      <c r="G22" s="702"/>
      <c r="H22" s="702"/>
    </row>
    <row r="23" spans="1:8" x14ac:dyDescent="0.25">
      <c r="A23" s="694" t="s">
        <v>220</v>
      </c>
      <c r="B23" s="696" t="s">
        <v>1257</v>
      </c>
      <c r="C23" s="736">
        <v>206705.08</v>
      </c>
      <c r="D23" s="736">
        <v>25760</v>
      </c>
      <c r="E23" s="735">
        <f t="shared" si="1"/>
        <v>232465.08</v>
      </c>
      <c r="F23" s="702"/>
      <c r="H23" s="733"/>
    </row>
    <row r="24" spans="1:8" x14ac:dyDescent="0.25">
      <c r="A24" s="694" t="s">
        <v>359</v>
      </c>
      <c r="B24" s="696" t="s">
        <v>1259</v>
      </c>
      <c r="C24" s="736">
        <v>2128483</v>
      </c>
      <c r="D24" s="736"/>
      <c r="E24" s="735">
        <f t="shared" si="1"/>
        <v>2128483</v>
      </c>
    </row>
    <row r="25" spans="1:8" x14ac:dyDescent="0.25">
      <c r="A25" s="694" t="s">
        <v>1258</v>
      </c>
      <c r="B25" s="696" t="s">
        <v>1266</v>
      </c>
      <c r="C25" s="736">
        <f>343671.41+37577+17812+16211</f>
        <v>415271.41</v>
      </c>
      <c r="D25" s="736"/>
      <c r="E25" s="735">
        <f t="shared" si="1"/>
        <v>415271.41</v>
      </c>
    </row>
    <row r="26" spans="1:8" x14ac:dyDescent="0.25">
      <c r="A26" s="694" t="s">
        <v>1260</v>
      </c>
      <c r="B26" s="696" t="s">
        <v>1267</v>
      </c>
      <c r="C26" s="736">
        <v>27284</v>
      </c>
      <c r="D26" s="736"/>
      <c r="E26" s="735">
        <f t="shared" si="1"/>
        <v>27284</v>
      </c>
    </row>
    <row r="27" spans="1:8" x14ac:dyDescent="0.25">
      <c r="A27" s="694" t="s">
        <v>1261</v>
      </c>
      <c r="B27" s="696" t="s">
        <v>1268</v>
      </c>
      <c r="C27" s="736">
        <v>75000</v>
      </c>
      <c r="D27" s="736"/>
      <c r="E27" s="735">
        <f t="shared" si="1"/>
        <v>75000</v>
      </c>
    </row>
    <row r="28" spans="1:8" x14ac:dyDescent="0.25">
      <c r="A28" s="694" t="s">
        <v>1262</v>
      </c>
      <c r="B28" s="696" t="s">
        <v>1269</v>
      </c>
      <c r="C28" s="736">
        <v>10034</v>
      </c>
      <c r="D28" s="736"/>
      <c r="E28" s="735">
        <f t="shared" si="1"/>
        <v>10034</v>
      </c>
    </row>
    <row r="29" spans="1:8" x14ac:dyDescent="0.25">
      <c r="A29" s="694" t="s">
        <v>1263</v>
      </c>
      <c r="B29" s="696" t="s">
        <v>1270</v>
      </c>
      <c r="C29" s="736">
        <v>12498</v>
      </c>
      <c r="D29" s="736"/>
      <c r="E29" s="735">
        <f t="shared" si="1"/>
        <v>12498</v>
      </c>
    </row>
    <row r="30" spans="1:8" x14ac:dyDescent="0.25">
      <c r="A30" s="694" t="s">
        <v>1264</v>
      </c>
      <c r="B30" s="696" t="s">
        <v>1271</v>
      </c>
      <c r="C30" s="736">
        <v>21914</v>
      </c>
      <c r="D30" s="736"/>
      <c r="E30" s="735">
        <f t="shared" si="1"/>
        <v>21914</v>
      </c>
    </row>
    <row r="31" spans="1:8" x14ac:dyDescent="0.25">
      <c r="A31" s="694" t="s">
        <v>1265</v>
      </c>
      <c r="B31" s="696" t="s">
        <v>1272</v>
      </c>
      <c r="C31" s="736">
        <v>65788</v>
      </c>
      <c r="D31" s="736"/>
      <c r="E31" s="735">
        <f t="shared" si="1"/>
        <v>65788</v>
      </c>
    </row>
    <row r="32" spans="1:8" x14ac:dyDescent="0.25">
      <c r="A32" s="694"/>
      <c r="B32" s="696"/>
      <c r="C32" s="665"/>
      <c r="D32" s="665"/>
      <c r="E32" s="735">
        <f t="shared" si="1"/>
        <v>0</v>
      </c>
      <c r="G32" s="702"/>
    </row>
    <row r="33" spans="1:15" ht="16.5" thickBot="1" x14ac:dyDescent="0.3">
      <c r="A33" s="698">
        <v>5</v>
      </c>
      <c r="B33" s="699" t="s">
        <v>277</v>
      </c>
      <c r="C33" s="737">
        <f>C5+C9+C18+C22</f>
        <v>4442687.28</v>
      </c>
      <c r="D33" s="737">
        <f>D5+D9+D18+D22</f>
        <v>68760</v>
      </c>
      <c r="E33" s="738">
        <f t="shared" si="1"/>
        <v>4511447.28</v>
      </c>
      <c r="G33" s="702"/>
    </row>
    <row r="34" spans="1:15" x14ac:dyDescent="0.25">
      <c r="A34" s="700"/>
      <c r="B34" s="701"/>
      <c r="C34" s="702"/>
      <c r="D34" s="702"/>
      <c r="E34" s="702"/>
      <c r="F34" s="702"/>
      <c r="G34" s="702"/>
      <c r="H34" s="702"/>
      <c r="I34" s="702"/>
      <c r="J34" s="702"/>
      <c r="K34" s="702"/>
    </row>
    <row r="35" spans="1:15" s="706" customFormat="1" x14ac:dyDescent="0.25">
      <c r="A35" s="703"/>
      <c r="B35" s="704" t="s">
        <v>742</v>
      </c>
      <c r="C35" s="705"/>
      <c r="D35" s="705"/>
      <c r="E35" s="705"/>
      <c r="F35" s="705"/>
      <c r="G35" s="705"/>
      <c r="H35" s="705"/>
      <c r="I35" s="705"/>
      <c r="J35" s="705"/>
      <c r="K35" s="705"/>
    </row>
    <row r="36" spans="1:15" x14ac:dyDescent="0.25">
      <c r="A36" s="700"/>
      <c r="B36" s="701"/>
      <c r="C36" s="928" t="s">
        <v>1295</v>
      </c>
      <c r="D36" s="929"/>
      <c r="E36" s="929"/>
      <c r="F36" s="929"/>
      <c r="G36" s="929"/>
      <c r="H36"/>
      <c r="I36"/>
      <c r="J36"/>
      <c r="K36"/>
      <c r="L36"/>
      <c r="M36"/>
      <c r="N36"/>
      <c r="O36"/>
    </row>
    <row r="37" spans="1:15" x14ac:dyDescent="0.25">
      <c r="A37" s="700"/>
      <c r="B37" s="701"/>
      <c r="C37" s="930"/>
      <c r="D37" s="930"/>
      <c r="E37" s="877"/>
      <c r="F37" s="878"/>
      <c r="G37" s="879"/>
      <c r="H37" s="879"/>
      <c r="I37"/>
      <c r="J37"/>
      <c r="K37"/>
      <c r="L37"/>
      <c r="M37"/>
      <c r="N37"/>
      <c r="O37"/>
    </row>
    <row r="38" spans="1:15" x14ac:dyDescent="0.25">
      <c r="A38" s="700"/>
      <c r="B38" s="701"/>
      <c r="C38" s="879"/>
      <c r="D38" s="880"/>
      <c r="E38" s="880"/>
      <c r="F38" s="880"/>
      <c r="G38" s="880"/>
      <c r="H38" s="880"/>
      <c r="I38" s="730"/>
      <c r="J38"/>
      <c r="K38"/>
      <c r="L38"/>
      <c r="M38"/>
      <c r="N38"/>
      <c r="O38"/>
    </row>
    <row r="39" spans="1:15" x14ac:dyDescent="0.25">
      <c r="A39" s="700"/>
      <c r="B39" s="701"/>
      <c r="C39" s="879"/>
      <c r="D39" s="880"/>
      <c r="E39" s="880"/>
      <c r="F39" s="880"/>
      <c r="G39" s="880"/>
      <c r="H39" s="880"/>
      <c r="I39" s="730"/>
      <c r="J39"/>
      <c r="K39"/>
      <c r="L39"/>
      <c r="M39"/>
      <c r="N39"/>
      <c r="O39"/>
    </row>
    <row r="40" spans="1:15" x14ac:dyDescent="0.25">
      <c r="A40" s="700"/>
      <c r="B40" s="701"/>
      <c r="C40" s="879"/>
      <c r="D40" s="880"/>
      <c r="E40" s="880"/>
      <c r="F40" s="880"/>
      <c r="G40" s="880"/>
      <c r="H40" s="880"/>
      <c r="I40" s="730"/>
      <c r="J40"/>
      <c r="K40"/>
      <c r="L40"/>
      <c r="M40"/>
      <c r="N40"/>
      <c r="O40"/>
    </row>
    <row r="41" spans="1:15" x14ac:dyDescent="0.25">
      <c r="A41" s="700"/>
      <c r="B41" s="701"/>
      <c r="C41" s="879"/>
      <c r="D41" s="880"/>
      <c r="E41" s="880"/>
      <c r="F41" s="880"/>
      <c r="G41" s="880"/>
      <c r="H41" s="880"/>
      <c r="I41" s="730"/>
      <c r="J41"/>
      <c r="K41"/>
      <c r="L41"/>
      <c r="M41"/>
      <c r="N41"/>
      <c r="O41"/>
    </row>
    <row r="42" spans="1:15" x14ac:dyDescent="0.25">
      <c r="A42" s="700"/>
      <c r="B42" s="701"/>
      <c r="C42" s="879"/>
      <c r="D42" s="880"/>
      <c r="E42" s="880"/>
      <c r="F42" s="880"/>
      <c r="G42" s="880"/>
      <c r="H42" s="880"/>
      <c r="I42" s="730"/>
      <c r="J42"/>
      <c r="K42"/>
      <c r="L42"/>
      <c r="M42"/>
      <c r="N42"/>
      <c r="O42"/>
    </row>
    <row r="43" spans="1:15" x14ac:dyDescent="0.25">
      <c r="A43" s="700"/>
      <c r="B43" s="701"/>
      <c r="C43" s="879"/>
      <c r="D43" s="880"/>
      <c r="E43" s="880"/>
      <c r="F43" s="880"/>
      <c r="G43" s="880"/>
      <c r="H43" s="880"/>
      <c r="I43" s="730"/>
      <c r="J43"/>
      <c r="K43"/>
      <c r="L43"/>
      <c r="M43"/>
      <c r="N43"/>
      <c r="O43"/>
    </row>
    <row r="44" spans="1:15" x14ac:dyDescent="0.25">
      <c r="A44" s="700"/>
      <c r="B44" s="701"/>
      <c r="C44" s="879"/>
      <c r="D44" s="880"/>
      <c r="E44" s="880"/>
      <c r="F44" s="880"/>
      <c r="G44" s="880"/>
      <c r="H44" s="880"/>
      <c r="I44" s="730"/>
      <c r="J44"/>
      <c r="K44"/>
      <c r="L44"/>
      <c r="M44"/>
      <c r="N44"/>
      <c r="O44"/>
    </row>
    <row r="45" spans="1:15" x14ac:dyDescent="0.25">
      <c r="A45" s="700"/>
      <c r="B45" s="701"/>
      <c r="C45" s="879"/>
      <c r="D45" s="880"/>
      <c r="E45" s="880"/>
      <c r="F45" s="880"/>
      <c r="G45" s="880"/>
      <c r="H45" s="880"/>
      <c r="I45" s="730"/>
      <c r="J45"/>
      <c r="K45"/>
      <c r="L45"/>
      <c r="M45"/>
      <c r="N45"/>
      <c r="O45"/>
    </row>
    <row r="46" spans="1:15" x14ac:dyDescent="0.25">
      <c r="A46" s="700"/>
      <c r="B46" s="701"/>
      <c r="C46" s="879"/>
      <c r="D46" s="880"/>
      <c r="E46" s="880"/>
      <c r="F46" s="880"/>
      <c r="G46" s="880"/>
      <c r="H46" s="880"/>
      <c r="I46" s="730"/>
      <c r="J46"/>
      <c r="K46"/>
      <c r="L46"/>
      <c r="M46"/>
      <c r="N46"/>
      <c r="O46"/>
    </row>
    <row r="47" spans="1:15" x14ac:dyDescent="0.25">
      <c r="A47" s="700"/>
      <c r="B47" s="701"/>
      <c r="C47" s="879"/>
      <c r="D47" s="880"/>
      <c r="E47" s="881"/>
      <c r="F47" s="881"/>
      <c r="G47" s="880"/>
      <c r="H47" s="880"/>
      <c r="I47" s="730"/>
      <c r="J47"/>
      <c r="K47"/>
      <c r="L47"/>
      <c r="M47"/>
      <c r="N47"/>
      <c r="O47"/>
    </row>
    <row r="48" spans="1:15" x14ac:dyDescent="0.25">
      <c r="A48" s="700"/>
      <c r="B48" s="701"/>
      <c r="C48" s="879"/>
      <c r="D48" s="880"/>
      <c r="E48" s="880"/>
      <c r="F48" s="880"/>
      <c r="G48" s="880"/>
      <c r="H48" s="880"/>
      <c r="I48" s="730"/>
      <c r="J48"/>
      <c r="K48"/>
      <c r="L48"/>
      <c r="M48"/>
      <c r="N48"/>
      <c r="O48"/>
    </row>
    <row r="49" spans="1:15" x14ac:dyDescent="0.25">
      <c r="A49" s="700"/>
      <c r="B49" s="701"/>
      <c r="C49" s="879"/>
      <c r="D49" s="880"/>
      <c r="E49" s="880"/>
      <c r="F49" s="880"/>
      <c r="G49" s="880"/>
      <c r="H49" s="880"/>
      <c r="I49" s="730"/>
      <c r="J49"/>
      <c r="K49"/>
      <c r="L49"/>
      <c r="M49"/>
      <c r="N49"/>
      <c r="O49"/>
    </row>
    <row r="50" spans="1:15" x14ac:dyDescent="0.25">
      <c r="A50" s="700"/>
      <c r="B50" s="701"/>
      <c r="C50" s="882"/>
      <c r="D50" s="881"/>
      <c r="E50" s="881"/>
      <c r="F50" s="881"/>
      <c r="G50" s="880"/>
      <c r="H50" s="880"/>
      <c r="I50" s="730"/>
      <c r="J50"/>
      <c r="K50"/>
      <c r="L50"/>
      <c r="M50"/>
      <c r="N50"/>
      <c r="O50"/>
    </row>
    <row r="51" spans="1:15" x14ac:dyDescent="0.25">
      <c r="A51" s="700"/>
      <c r="B51" s="701"/>
      <c r="C51" s="882"/>
      <c r="D51" s="881"/>
      <c r="E51" s="881"/>
      <c r="F51" s="881"/>
      <c r="G51" s="880"/>
      <c r="H51" s="880"/>
      <c r="I51" s="730"/>
      <c r="J51"/>
      <c r="K51"/>
      <c r="L51"/>
      <c r="M51"/>
      <c r="N51"/>
      <c r="O51"/>
    </row>
    <row r="52" spans="1:15" x14ac:dyDescent="0.25">
      <c r="A52" s="700"/>
      <c r="B52" s="701"/>
      <c r="C52" s="882"/>
      <c r="D52" s="881"/>
      <c r="E52" s="883"/>
      <c r="F52" s="881"/>
      <c r="G52" s="931"/>
      <c r="H52" s="931"/>
      <c r="I52" s="730"/>
      <c r="J52" s="720"/>
      <c r="K52" s="720"/>
      <c r="L52" s="720"/>
      <c r="M52" s="720"/>
      <c r="N52" s="720"/>
      <c r="O52" s="720"/>
    </row>
    <row r="53" spans="1:15" x14ac:dyDescent="0.25">
      <c r="A53" s="700"/>
      <c r="B53" s="701"/>
      <c r="C53" s="882"/>
      <c r="D53" s="881"/>
      <c r="E53" s="881"/>
      <c r="F53" s="881"/>
      <c r="G53" s="931"/>
      <c r="H53" s="931"/>
      <c r="I53" s="730"/>
      <c r="J53" s="720"/>
      <c r="K53" s="720"/>
      <c r="L53" s="720"/>
      <c r="M53" s="720"/>
      <c r="N53" s="720"/>
      <c r="O53" s="720"/>
    </row>
    <row r="54" spans="1:15" x14ac:dyDescent="0.25">
      <c r="A54" s="700"/>
      <c r="B54" s="701"/>
      <c r="C54" s="882"/>
      <c r="D54" s="881"/>
      <c r="E54" s="881"/>
      <c r="F54" s="881"/>
      <c r="G54" s="881"/>
      <c r="H54" s="881"/>
      <c r="I54" s="730"/>
      <c r="J54"/>
      <c r="K54"/>
      <c r="L54"/>
      <c r="M54"/>
      <c r="N54"/>
      <c r="O54"/>
    </row>
    <row r="55" spans="1:15" x14ac:dyDescent="0.25">
      <c r="A55" s="700"/>
      <c r="B55" s="701"/>
      <c r="C55" s="879"/>
      <c r="D55" s="880"/>
      <c r="E55" s="880"/>
      <c r="F55" s="880"/>
      <c r="G55" s="880"/>
      <c r="H55" s="880"/>
      <c r="I55" s="730"/>
      <c r="J55"/>
      <c r="K55"/>
      <c r="L55"/>
      <c r="M55"/>
      <c r="N55"/>
      <c r="O55"/>
    </row>
    <row r="56" spans="1:15" x14ac:dyDescent="0.25">
      <c r="A56" s="700"/>
      <c r="B56" s="701"/>
      <c r="C56" s="884"/>
      <c r="D56" s="884"/>
      <c r="E56" s="884"/>
      <c r="F56" s="884"/>
      <c r="G56" s="884"/>
      <c r="H56" s="884"/>
      <c r="I56" s="702"/>
      <c r="J56" s="702"/>
      <c r="K56" s="702"/>
    </row>
    <row r="57" spans="1:15" x14ac:dyDescent="0.25">
      <c r="A57" s="700"/>
      <c r="B57" s="701"/>
      <c r="C57" s="884"/>
      <c r="D57" s="884"/>
      <c r="E57" s="884"/>
      <c r="F57" s="884"/>
      <c r="G57" s="884"/>
      <c r="H57" s="884"/>
      <c r="I57" s="702"/>
      <c r="J57" s="702"/>
      <c r="K57" s="702"/>
    </row>
    <row r="58" spans="1:15" x14ac:dyDescent="0.25">
      <c r="A58" s="700"/>
      <c r="B58" s="701"/>
      <c r="C58" s="884"/>
      <c r="D58" s="884"/>
      <c r="E58" s="884"/>
      <c r="F58" s="884"/>
      <c r="G58" s="884"/>
      <c r="H58" s="884"/>
      <c r="I58" s="702"/>
      <c r="J58" s="702"/>
      <c r="K58" s="702"/>
    </row>
    <row r="59" spans="1:15" x14ac:dyDescent="0.25">
      <c r="A59" s="700"/>
      <c r="B59" s="701"/>
      <c r="C59" s="885"/>
      <c r="D59" s="885"/>
      <c r="E59" s="884"/>
      <c r="F59" s="884"/>
      <c r="G59" s="884"/>
      <c r="H59" s="884"/>
      <c r="I59" s="702"/>
      <c r="J59" s="702"/>
      <c r="K59" s="702"/>
    </row>
    <row r="60" spans="1:15" x14ac:dyDescent="0.25">
      <c r="A60" s="700"/>
      <c r="B60" s="701"/>
      <c r="C60" s="884"/>
      <c r="D60" s="884"/>
      <c r="E60" s="884"/>
      <c r="F60" s="884"/>
      <c r="G60" s="884"/>
      <c r="H60" s="884"/>
      <c r="I60" s="702"/>
      <c r="J60" s="702"/>
      <c r="K60" s="702"/>
    </row>
    <row r="61" spans="1:15" x14ac:dyDescent="0.25">
      <c r="A61" s="700"/>
      <c r="B61" s="701"/>
      <c r="C61" s="884"/>
      <c r="D61" s="884"/>
      <c r="E61" s="884"/>
      <c r="F61" s="884"/>
      <c r="G61" s="884"/>
      <c r="H61" s="884"/>
      <c r="I61" s="702"/>
      <c r="J61" s="702"/>
      <c r="K61" s="702"/>
    </row>
    <row r="62" spans="1:15" x14ac:dyDescent="0.25">
      <c r="A62" s="700"/>
      <c r="B62" s="701"/>
      <c r="C62" s="884"/>
      <c r="D62" s="884"/>
      <c r="E62" s="884"/>
      <c r="F62" s="884"/>
      <c r="G62" s="884"/>
      <c r="H62" s="884"/>
      <c r="I62" s="702"/>
      <c r="J62" s="702"/>
      <c r="K62" s="702"/>
    </row>
    <row r="63" spans="1:15" x14ac:dyDescent="0.25">
      <c r="A63" s="700"/>
      <c r="B63" s="701"/>
      <c r="C63" s="884"/>
      <c r="D63" s="884"/>
      <c r="E63" s="884"/>
      <c r="F63" s="884"/>
      <c r="G63" s="884"/>
      <c r="H63" s="884"/>
      <c r="I63" s="702"/>
      <c r="J63" s="702"/>
      <c r="K63" s="702"/>
    </row>
    <row r="64" spans="1:15" x14ac:dyDescent="0.25">
      <c r="A64" s="700"/>
      <c r="B64" s="701"/>
      <c r="C64" s="702"/>
      <c r="D64" s="702"/>
      <c r="E64" s="702"/>
      <c r="F64" s="702"/>
      <c r="G64" s="702"/>
      <c r="H64" s="702"/>
      <c r="I64" s="702"/>
      <c r="J64" s="702"/>
      <c r="K64" s="702"/>
    </row>
    <row r="65" spans="1:11" x14ac:dyDescent="0.25">
      <c r="A65" s="700"/>
      <c r="B65" s="701"/>
      <c r="C65" s="702"/>
      <c r="D65" s="702"/>
      <c r="E65" s="702"/>
      <c r="F65" s="702"/>
      <c r="G65" s="702"/>
      <c r="H65" s="702"/>
      <c r="I65" s="702"/>
      <c r="J65" s="702"/>
      <c r="K65" s="702"/>
    </row>
    <row r="66" spans="1:11" x14ac:dyDescent="0.25">
      <c r="A66" s="700"/>
      <c r="B66" s="701"/>
      <c r="C66" s="702"/>
      <c r="D66" s="702"/>
      <c r="E66" s="702"/>
      <c r="F66" s="702"/>
      <c r="G66" s="702"/>
      <c r="H66" s="702"/>
      <c r="I66" s="702"/>
      <c r="J66" s="702"/>
      <c r="K66" s="702"/>
    </row>
    <row r="67" spans="1:11" x14ac:dyDescent="0.25">
      <c r="A67" s="700"/>
      <c r="B67" s="701"/>
      <c r="C67" s="702"/>
      <c r="D67" s="702"/>
      <c r="E67" s="702"/>
      <c r="F67" s="702"/>
      <c r="G67" s="702"/>
      <c r="H67" s="702"/>
      <c r="I67" s="702"/>
      <c r="J67" s="702"/>
      <c r="K67" s="702"/>
    </row>
    <row r="68" spans="1:11" x14ac:dyDescent="0.25">
      <c r="A68" s="700"/>
      <c r="B68" s="701"/>
      <c r="C68" s="702"/>
      <c r="D68" s="702"/>
      <c r="E68" s="702"/>
      <c r="F68" s="702"/>
      <c r="G68" s="702"/>
      <c r="H68" s="702"/>
      <c r="I68" s="702"/>
      <c r="J68" s="702"/>
      <c r="K68" s="702"/>
    </row>
    <row r="69" spans="1:11" x14ac:dyDescent="0.25">
      <c r="A69" s="700"/>
      <c r="B69" s="701"/>
      <c r="C69" s="702"/>
      <c r="D69" s="702"/>
      <c r="E69" s="702"/>
      <c r="F69" s="702"/>
      <c r="G69" s="702"/>
      <c r="H69" s="702"/>
      <c r="I69" s="702"/>
      <c r="J69" s="702"/>
      <c r="K69" s="702"/>
    </row>
    <row r="70" spans="1:11" x14ac:dyDescent="0.25">
      <c r="A70" s="700"/>
      <c r="B70" s="701"/>
      <c r="C70" s="702"/>
      <c r="D70" s="702"/>
      <c r="E70" s="702"/>
      <c r="F70" s="702"/>
      <c r="G70" s="702"/>
      <c r="H70" s="702"/>
      <c r="I70" s="702"/>
      <c r="J70" s="702"/>
      <c r="K70" s="702"/>
    </row>
    <row r="71" spans="1:11" x14ac:dyDescent="0.25">
      <c r="A71" s="700"/>
      <c r="B71" s="701"/>
      <c r="C71" s="702"/>
      <c r="D71" s="702"/>
      <c r="E71" s="702"/>
      <c r="F71" s="702"/>
      <c r="G71" s="702"/>
      <c r="H71" s="702"/>
      <c r="I71" s="702"/>
      <c r="J71" s="702"/>
      <c r="K71" s="702"/>
    </row>
    <row r="72" spans="1:11" x14ac:dyDescent="0.25">
      <c r="A72" s="700"/>
      <c r="B72" s="701"/>
      <c r="C72" s="702"/>
      <c r="D72" s="702"/>
      <c r="E72" s="702"/>
      <c r="F72" s="702"/>
      <c r="G72" s="702"/>
      <c r="H72" s="702"/>
      <c r="I72" s="702"/>
      <c r="J72" s="702"/>
      <c r="K72" s="702"/>
    </row>
    <row r="73" spans="1:11" x14ac:dyDescent="0.25">
      <c r="A73" s="700"/>
      <c r="B73" s="701"/>
      <c r="C73" s="702"/>
      <c r="D73" s="702"/>
      <c r="E73" s="702"/>
      <c r="F73" s="702"/>
      <c r="G73" s="702"/>
      <c r="H73" s="702"/>
      <c r="I73" s="702"/>
      <c r="J73" s="702"/>
      <c r="K73" s="702"/>
    </row>
    <row r="74" spans="1:11" x14ac:dyDescent="0.25">
      <c r="A74" s="700"/>
      <c r="B74" s="701"/>
      <c r="C74" s="702"/>
      <c r="D74" s="702"/>
      <c r="E74" s="702"/>
      <c r="F74" s="702"/>
      <c r="G74" s="702"/>
      <c r="H74" s="702"/>
      <c r="I74" s="702"/>
      <c r="J74" s="702"/>
      <c r="K74" s="702"/>
    </row>
    <row r="75" spans="1:11" x14ac:dyDescent="0.25">
      <c r="A75" s="700"/>
      <c r="B75" s="701"/>
      <c r="C75" s="702"/>
      <c r="D75" s="702"/>
      <c r="E75" s="702"/>
      <c r="F75" s="702"/>
      <c r="G75" s="702"/>
      <c r="H75" s="702"/>
      <c r="I75" s="702"/>
      <c r="J75" s="702"/>
      <c r="K75" s="702"/>
    </row>
    <row r="76" spans="1:11" x14ac:dyDescent="0.25">
      <c r="A76" s="700"/>
      <c r="B76" s="701"/>
      <c r="C76" s="702"/>
      <c r="D76" s="702"/>
      <c r="E76" s="702"/>
      <c r="F76" s="702"/>
      <c r="G76" s="702"/>
      <c r="H76" s="702"/>
      <c r="I76" s="702"/>
      <c r="J76" s="702"/>
      <c r="K76" s="702"/>
    </row>
    <row r="77" spans="1:11" x14ac:dyDescent="0.25">
      <c r="A77" s="700"/>
      <c r="B77" s="701"/>
      <c r="C77" s="702"/>
      <c r="D77" s="702"/>
      <c r="E77" s="702"/>
      <c r="F77" s="702"/>
      <c r="G77" s="702"/>
      <c r="H77" s="702"/>
      <c r="I77" s="702"/>
      <c r="J77" s="702"/>
      <c r="K77" s="702"/>
    </row>
    <row r="78" spans="1:11" x14ac:dyDescent="0.25">
      <c r="A78" s="700"/>
      <c r="B78" s="701"/>
      <c r="C78" s="702"/>
      <c r="D78" s="702"/>
      <c r="E78" s="702"/>
      <c r="F78" s="702"/>
      <c r="G78" s="702"/>
      <c r="H78" s="702"/>
      <c r="I78" s="702"/>
      <c r="J78" s="702"/>
      <c r="K78" s="702"/>
    </row>
    <row r="79" spans="1:11" x14ac:dyDescent="0.25">
      <c r="A79" s="700"/>
      <c r="B79" s="701"/>
      <c r="C79" s="702"/>
      <c r="D79" s="702"/>
      <c r="E79" s="702"/>
      <c r="F79" s="702"/>
      <c r="G79" s="702"/>
      <c r="H79" s="702"/>
      <c r="I79" s="702"/>
      <c r="J79" s="702"/>
      <c r="K79" s="702"/>
    </row>
    <row r="80" spans="1:11" x14ac:dyDescent="0.25">
      <c r="A80" s="700"/>
      <c r="B80" s="701"/>
      <c r="C80" s="702"/>
      <c r="D80" s="702"/>
      <c r="E80" s="702"/>
      <c r="F80" s="702"/>
      <c r="G80" s="702"/>
      <c r="H80" s="702"/>
      <c r="I80" s="702"/>
      <c r="J80" s="702"/>
      <c r="K80" s="702"/>
    </row>
    <row r="81" spans="1:11" x14ac:dyDescent="0.25">
      <c r="A81" s="700"/>
      <c r="B81" s="701"/>
      <c r="C81" s="702"/>
      <c r="D81" s="702"/>
      <c r="E81" s="702"/>
      <c r="F81" s="702"/>
      <c r="G81" s="702"/>
      <c r="H81" s="702"/>
      <c r="I81" s="702"/>
      <c r="J81" s="702"/>
      <c r="K81" s="702"/>
    </row>
    <row r="82" spans="1:11" x14ac:dyDescent="0.25">
      <c r="A82" s="700"/>
      <c r="B82" s="701"/>
      <c r="C82" s="702"/>
      <c r="D82" s="702"/>
      <c r="E82" s="702"/>
      <c r="F82" s="702"/>
      <c r="G82" s="702"/>
      <c r="H82" s="702"/>
      <c r="I82" s="702"/>
      <c r="J82" s="702"/>
      <c r="K82" s="702"/>
    </row>
    <row r="83" spans="1:11" x14ac:dyDescent="0.25">
      <c r="A83" s="700"/>
      <c r="B83" s="701"/>
      <c r="C83" s="702"/>
      <c r="D83" s="702"/>
      <c r="E83" s="702"/>
      <c r="F83" s="702"/>
      <c r="G83" s="702"/>
      <c r="H83" s="702"/>
      <c r="I83" s="702"/>
      <c r="J83" s="702"/>
      <c r="K83" s="702"/>
    </row>
    <row r="84" spans="1:11" x14ac:dyDescent="0.25">
      <c r="A84" s="700"/>
      <c r="B84" s="701"/>
      <c r="C84" s="702"/>
      <c r="D84" s="702"/>
      <c r="E84" s="702"/>
      <c r="F84" s="702"/>
      <c r="G84" s="702"/>
      <c r="H84" s="702"/>
      <c r="I84" s="702"/>
      <c r="J84" s="702"/>
      <c r="K84" s="702"/>
    </row>
    <row r="85" spans="1:11" x14ac:dyDescent="0.25">
      <c r="A85" s="700"/>
      <c r="B85" s="701"/>
      <c r="C85" s="702"/>
      <c r="D85" s="702"/>
      <c r="E85" s="702"/>
      <c r="F85" s="702"/>
      <c r="G85" s="702"/>
      <c r="H85" s="702"/>
      <c r="I85" s="702"/>
      <c r="J85" s="702"/>
      <c r="K85" s="702"/>
    </row>
    <row r="86" spans="1:11" x14ac:dyDescent="0.25">
      <c r="A86" s="700"/>
      <c r="B86" s="701"/>
      <c r="C86" s="702"/>
      <c r="D86" s="702"/>
      <c r="E86" s="702"/>
      <c r="F86" s="702"/>
      <c r="G86" s="702"/>
      <c r="H86" s="702"/>
      <c r="I86" s="702"/>
      <c r="J86" s="702"/>
      <c r="K86" s="702"/>
    </row>
    <row r="87" spans="1:11" x14ac:dyDescent="0.25">
      <c r="A87" s="700"/>
      <c r="B87" s="701"/>
      <c r="C87" s="702"/>
      <c r="D87" s="702"/>
      <c r="E87" s="702"/>
      <c r="F87" s="702"/>
      <c r="G87" s="702"/>
      <c r="H87" s="702"/>
      <c r="I87" s="702"/>
      <c r="J87" s="702"/>
      <c r="K87" s="702"/>
    </row>
    <row r="88" spans="1:11" x14ac:dyDescent="0.25">
      <c r="A88" s="700"/>
      <c r="B88" s="701"/>
      <c r="C88" s="702"/>
      <c r="D88" s="702"/>
      <c r="E88" s="702"/>
      <c r="F88" s="702"/>
      <c r="G88" s="702"/>
      <c r="H88" s="702"/>
      <c r="I88" s="702"/>
      <c r="J88" s="702"/>
      <c r="K88" s="702"/>
    </row>
    <row r="89" spans="1:11" x14ac:dyDescent="0.25">
      <c r="A89" s="700"/>
      <c r="B89" s="701"/>
      <c r="C89" s="702"/>
      <c r="D89" s="702"/>
      <c r="E89" s="702"/>
      <c r="F89" s="702"/>
      <c r="G89" s="702"/>
      <c r="H89" s="702"/>
      <c r="I89" s="702"/>
      <c r="J89" s="702"/>
      <c r="K89" s="702"/>
    </row>
    <row r="90" spans="1:11" x14ac:dyDescent="0.25">
      <c r="A90" s="700"/>
      <c r="B90" s="701"/>
      <c r="C90" s="702"/>
      <c r="D90" s="702"/>
      <c r="E90" s="702"/>
      <c r="F90" s="702"/>
      <c r="G90" s="702"/>
      <c r="H90" s="702"/>
      <c r="I90" s="702"/>
      <c r="J90" s="702"/>
      <c r="K90" s="702"/>
    </row>
    <row r="91" spans="1:11" x14ac:dyDescent="0.25">
      <c r="A91" s="700"/>
      <c r="B91" s="701"/>
      <c r="C91" s="702"/>
      <c r="D91" s="702"/>
      <c r="E91" s="702"/>
      <c r="F91" s="702"/>
      <c r="G91" s="702"/>
      <c r="H91" s="702"/>
      <c r="I91" s="702"/>
      <c r="J91" s="702"/>
      <c r="K91" s="702"/>
    </row>
    <row r="92" spans="1:11" x14ac:dyDescent="0.25">
      <c r="A92" s="700"/>
      <c r="B92" s="701"/>
      <c r="C92" s="702"/>
      <c r="D92" s="702"/>
      <c r="E92" s="702"/>
      <c r="F92" s="702"/>
      <c r="G92" s="702"/>
      <c r="H92" s="702"/>
      <c r="I92" s="702"/>
      <c r="J92" s="702"/>
      <c r="K92" s="702"/>
    </row>
    <row r="93" spans="1:11" x14ac:dyDescent="0.25">
      <c r="A93" s="700"/>
      <c r="B93" s="701"/>
      <c r="C93" s="702"/>
      <c r="D93" s="702"/>
      <c r="E93" s="702"/>
      <c r="F93" s="702"/>
      <c r="G93" s="702"/>
      <c r="H93" s="702"/>
      <c r="I93" s="702"/>
      <c r="J93" s="702"/>
      <c r="K93" s="702"/>
    </row>
    <row r="94" spans="1:11" x14ac:dyDescent="0.25">
      <c r="A94" s="700"/>
      <c r="B94" s="701"/>
      <c r="C94" s="702"/>
      <c r="D94" s="702"/>
      <c r="E94" s="702"/>
      <c r="F94" s="702"/>
      <c r="G94" s="702"/>
      <c r="H94" s="702"/>
      <c r="I94" s="702"/>
      <c r="J94" s="702"/>
      <c r="K94" s="702"/>
    </row>
    <row r="95" spans="1:11" x14ac:dyDescent="0.25">
      <c r="A95" s="700"/>
      <c r="B95" s="701"/>
      <c r="C95" s="702"/>
      <c r="D95" s="702"/>
      <c r="E95" s="702"/>
      <c r="F95" s="702"/>
      <c r="G95" s="702"/>
      <c r="H95" s="702"/>
      <c r="I95" s="702"/>
      <c r="J95" s="702"/>
      <c r="K95" s="702"/>
    </row>
    <row r="96" spans="1:11" x14ac:dyDescent="0.25">
      <c r="A96" s="700"/>
      <c r="B96" s="701"/>
      <c r="C96" s="702"/>
      <c r="D96" s="702"/>
      <c r="E96" s="702"/>
      <c r="F96" s="702"/>
      <c r="G96" s="702"/>
      <c r="H96" s="702"/>
      <c r="I96" s="702"/>
      <c r="J96" s="702"/>
      <c r="K96" s="702"/>
    </row>
    <row r="97" spans="1:11" x14ac:dyDescent="0.25">
      <c r="A97" s="700"/>
      <c r="B97" s="701"/>
      <c r="C97" s="702"/>
      <c r="D97" s="702"/>
      <c r="E97" s="702"/>
      <c r="F97" s="702"/>
      <c r="G97" s="702"/>
      <c r="H97" s="702"/>
      <c r="I97" s="702"/>
      <c r="J97" s="702"/>
      <c r="K97" s="702"/>
    </row>
    <row r="98" spans="1:11" x14ac:dyDescent="0.25">
      <c r="A98" s="700"/>
      <c r="B98" s="701"/>
      <c r="C98" s="702"/>
      <c r="D98" s="702"/>
      <c r="E98" s="702"/>
      <c r="F98" s="702"/>
      <c r="G98" s="702"/>
      <c r="H98" s="702"/>
      <c r="I98" s="702"/>
      <c r="J98" s="702"/>
      <c r="K98" s="702"/>
    </row>
    <row r="99" spans="1:11" x14ac:dyDescent="0.25">
      <c r="A99" s="700"/>
      <c r="B99" s="701"/>
      <c r="C99" s="702"/>
      <c r="D99" s="702"/>
      <c r="E99" s="702"/>
      <c r="F99" s="702"/>
      <c r="G99" s="702"/>
      <c r="H99" s="702"/>
      <c r="I99" s="702"/>
      <c r="J99" s="702"/>
      <c r="K99" s="702"/>
    </row>
    <row r="100" spans="1:11" x14ac:dyDescent="0.25">
      <c r="A100" s="700"/>
      <c r="B100" s="701"/>
      <c r="C100" s="702"/>
      <c r="D100" s="702"/>
      <c r="E100" s="702"/>
      <c r="F100" s="702"/>
      <c r="G100" s="702"/>
      <c r="H100" s="702"/>
      <c r="I100" s="702"/>
      <c r="J100" s="702"/>
      <c r="K100" s="702"/>
    </row>
    <row r="101" spans="1:11" x14ac:dyDescent="0.25">
      <c r="A101" s="700"/>
      <c r="B101" s="701"/>
      <c r="C101" s="702"/>
      <c r="D101" s="702"/>
      <c r="E101" s="702"/>
      <c r="F101" s="702"/>
      <c r="G101" s="702"/>
      <c r="H101" s="702"/>
      <c r="I101" s="702"/>
      <c r="J101" s="702"/>
      <c r="K101" s="702"/>
    </row>
    <row r="102" spans="1:11" x14ac:dyDescent="0.25">
      <c r="A102" s="700"/>
      <c r="B102" s="701"/>
      <c r="C102" s="702"/>
      <c r="D102" s="702"/>
      <c r="E102" s="702"/>
      <c r="F102" s="702"/>
      <c r="G102" s="702"/>
      <c r="H102" s="702"/>
      <c r="I102" s="702"/>
      <c r="J102" s="702"/>
      <c r="K102" s="702"/>
    </row>
    <row r="103" spans="1:11" x14ac:dyDescent="0.25">
      <c r="A103" s="700"/>
      <c r="B103" s="701"/>
      <c r="C103" s="702"/>
      <c r="D103" s="702"/>
      <c r="E103" s="702"/>
      <c r="F103" s="702"/>
      <c r="G103" s="702"/>
      <c r="H103" s="702"/>
      <c r="I103" s="702"/>
      <c r="J103" s="702"/>
      <c r="K103" s="702"/>
    </row>
    <row r="104" spans="1:11" x14ac:dyDescent="0.25">
      <c r="A104" s="700"/>
      <c r="B104" s="701"/>
      <c r="C104" s="702"/>
      <c r="D104" s="702"/>
      <c r="E104" s="702"/>
      <c r="F104" s="702"/>
      <c r="G104" s="702"/>
      <c r="H104" s="702"/>
      <c r="I104" s="702"/>
      <c r="J104" s="702"/>
      <c r="K104" s="702"/>
    </row>
    <row r="105" spans="1:11" x14ac:dyDescent="0.25">
      <c r="A105" s="700"/>
      <c r="B105" s="701"/>
      <c r="C105" s="702"/>
      <c r="D105" s="702"/>
      <c r="E105" s="702"/>
      <c r="F105" s="702"/>
      <c r="G105" s="702"/>
      <c r="H105" s="702"/>
      <c r="I105" s="702"/>
      <c r="J105" s="702"/>
      <c r="K105" s="702"/>
    </row>
    <row r="106" spans="1:11" x14ac:dyDescent="0.25">
      <c r="A106" s="700"/>
      <c r="B106" s="701"/>
      <c r="C106" s="702"/>
      <c r="D106" s="702"/>
      <c r="E106" s="702"/>
      <c r="F106" s="702"/>
      <c r="G106" s="702"/>
      <c r="H106" s="702"/>
      <c r="I106" s="702"/>
      <c r="J106" s="702"/>
      <c r="K106" s="702"/>
    </row>
    <row r="107" spans="1:11" x14ac:dyDescent="0.25">
      <c r="A107" s="700"/>
      <c r="B107" s="701"/>
      <c r="C107" s="702"/>
      <c r="D107" s="702"/>
      <c r="E107" s="702"/>
      <c r="F107" s="702"/>
      <c r="G107" s="702"/>
      <c r="H107" s="702"/>
      <c r="I107" s="702"/>
      <c r="J107" s="702"/>
      <c r="K107" s="702"/>
    </row>
    <row r="108" spans="1:11" x14ac:dyDescent="0.25">
      <c r="A108" s="700"/>
      <c r="B108" s="701"/>
      <c r="C108" s="702"/>
      <c r="D108" s="702"/>
      <c r="E108" s="702"/>
      <c r="F108" s="702"/>
      <c r="G108" s="702"/>
      <c r="H108" s="702"/>
      <c r="I108" s="702"/>
      <c r="J108" s="702"/>
      <c r="K108" s="702"/>
    </row>
    <row r="109" spans="1:11" x14ac:dyDescent="0.25">
      <c r="A109" s="700"/>
      <c r="B109" s="701"/>
      <c r="C109" s="702"/>
      <c r="D109" s="702"/>
      <c r="E109" s="702"/>
      <c r="F109" s="702"/>
      <c r="G109" s="702"/>
      <c r="H109" s="702"/>
      <c r="I109" s="702"/>
      <c r="J109" s="702"/>
      <c r="K109" s="702"/>
    </row>
    <row r="110" spans="1:11" x14ac:dyDescent="0.25">
      <c r="A110" s="700"/>
      <c r="B110" s="701"/>
      <c r="C110" s="702"/>
      <c r="D110" s="702"/>
      <c r="E110" s="702"/>
      <c r="F110" s="702"/>
      <c r="G110" s="702"/>
      <c r="H110" s="702"/>
      <c r="I110" s="702"/>
      <c r="J110" s="702"/>
      <c r="K110" s="702"/>
    </row>
    <row r="111" spans="1:11" x14ac:dyDescent="0.25">
      <c r="A111" s="700"/>
      <c r="B111" s="701"/>
      <c r="C111" s="702"/>
      <c r="D111" s="702"/>
      <c r="E111" s="702"/>
      <c r="F111" s="702"/>
      <c r="G111" s="702"/>
      <c r="H111" s="702"/>
      <c r="I111" s="702"/>
      <c r="J111" s="702"/>
      <c r="K111" s="702"/>
    </row>
    <row r="112" spans="1:11" x14ac:dyDescent="0.25">
      <c r="A112" s="700"/>
      <c r="B112" s="701"/>
      <c r="C112" s="702"/>
      <c r="D112" s="702"/>
      <c r="E112" s="702"/>
      <c r="F112" s="702"/>
      <c r="G112" s="702"/>
      <c r="H112" s="702"/>
      <c r="I112" s="702"/>
      <c r="J112" s="702"/>
      <c r="K112" s="702"/>
    </row>
    <row r="113" spans="1:11" x14ac:dyDescent="0.25">
      <c r="A113" s="700"/>
      <c r="B113" s="701"/>
      <c r="C113" s="702"/>
      <c r="D113" s="702"/>
      <c r="E113" s="702"/>
      <c r="F113" s="702"/>
      <c r="G113" s="702"/>
      <c r="H113" s="702"/>
      <c r="I113" s="702"/>
      <c r="J113" s="702"/>
      <c r="K113" s="702"/>
    </row>
    <row r="114" spans="1:11" x14ac:dyDescent="0.25">
      <c r="A114" s="700"/>
      <c r="B114" s="701"/>
      <c r="C114" s="702"/>
      <c r="D114" s="702"/>
      <c r="E114" s="702"/>
      <c r="F114" s="702"/>
      <c r="G114" s="702"/>
      <c r="H114" s="702"/>
      <c r="I114" s="702"/>
      <c r="J114" s="702"/>
      <c r="K114" s="702"/>
    </row>
    <row r="115" spans="1:11" x14ac:dyDescent="0.25">
      <c r="A115" s="700"/>
      <c r="B115" s="701"/>
      <c r="C115" s="702"/>
      <c r="D115" s="702"/>
      <c r="E115" s="702"/>
      <c r="F115" s="702"/>
      <c r="G115" s="702"/>
      <c r="H115" s="702"/>
      <c r="I115" s="702"/>
      <c r="J115" s="702"/>
      <c r="K115" s="702"/>
    </row>
    <row r="116" spans="1:11" x14ac:dyDescent="0.25">
      <c r="A116" s="700"/>
      <c r="B116" s="701"/>
      <c r="C116" s="702"/>
      <c r="D116" s="702"/>
      <c r="E116" s="702"/>
      <c r="F116" s="702"/>
      <c r="G116" s="702"/>
      <c r="H116" s="702"/>
      <c r="I116" s="702"/>
      <c r="J116" s="702"/>
      <c r="K116" s="702"/>
    </row>
    <row r="117" spans="1:11" x14ac:dyDescent="0.25">
      <c r="A117" s="700"/>
      <c r="B117" s="701"/>
      <c r="C117" s="702"/>
      <c r="D117" s="702"/>
      <c r="E117" s="702"/>
      <c r="F117" s="702"/>
      <c r="G117" s="702"/>
      <c r="H117" s="702"/>
      <c r="I117" s="702"/>
      <c r="J117" s="702"/>
      <c r="K117" s="702"/>
    </row>
    <row r="118" spans="1:11" x14ac:dyDescent="0.25">
      <c r="A118" s="700"/>
      <c r="B118" s="701"/>
      <c r="C118" s="702"/>
      <c r="D118" s="702"/>
      <c r="E118" s="702"/>
      <c r="F118" s="702"/>
      <c r="G118" s="702"/>
      <c r="H118" s="702"/>
      <c r="I118" s="702"/>
      <c r="J118" s="702"/>
      <c r="K118" s="702"/>
    </row>
    <row r="119" spans="1:11" x14ac:dyDescent="0.25">
      <c r="A119" s="700"/>
      <c r="B119" s="701"/>
      <c r="C119" s="702"/>
      <c r="D119" s="702"/>
      <c r="E119" s="702"/>
      <c r="F119" s="702"/>
      <c r="G119" s="702"/>
      <c r="H119" s="702"/>
      <c r="I119" s="702"/>
      <c r="J119" s="702"/>
      <c r="K119" s="702"/>
    </row>
    <row r="120" spans="1:11" x14ac:dyDescent="0.25">
      <c r="A120" s="700"/>
      <c r="B120" s="701"/>
      <c r="C120" s="702"/>
      <c r="D120" s="702"/>
      <c r="E120" s="702"/>
      <c r="F120" s="702"/>
      <c r="G120" s="702"/>
      <c r="H120" s="702"/>
      <c r="I120" s="702"/>
      <c r="J120" s="702"/>
      <c r="K120" s="702"/>
    </row>
  </sheetData>
  <mergeCells count="5">
    <mergeCell ref="A1:E1"/>
    <mergeCell ref="A2:E2"/>
    <mergeCell ref="C36:G36"/>
    <mergeCell ref="C37:D37"/>
    <mergeCell ref="G52:H53"/>
  </mergeCells>
  <printOptions gridLines="1"/>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80"/>
  <sheetViews>
    <sheetView zoomScale="80" zoomScaleNormal="80" workbookViewId="0">
      <pane xSplit="2" ySplit="5" topLeftCell="C73" activePane="bottomRight" state="frozen"/>
      <selection pane="topRight" activeCell="C1" sqref="C1"/>
      <selection pane="bottomLeft" activeCell="A6" sqref="A6"/>
      <selection pane="bottomRight" activeCell="C75" sqref="C75"/>
    </sheetView>
  </sheetViews>
  <sheetFormatPr defaultColWidth="9.140625" defaultRowHeight="15.75" x14ac:dyDescent="0.25"/>
  <cols>
    <col min="1" max="1" width="7.85546875" style="3" customWidth="1"/>
    <col min="2" max="2" width="82.140625" style="130" customWidth="1"/>
    <col min="3" max="3" width="16.42578125" style="131" customWidth="1"/>
    <col min="4" max="4" width="16.5703125" style="131" customWidth="1"/>
    <col min="5" max="5" width="17.28515625" style="131" bestFit="1" customWidth="1"/>
    <col min="6" max="6" width="19.140625" style="131" customWidth="1"/>
    <col min="7" max="7" width="16.85546875" style="131" customWidth="1"/>
    <col min="8" max="8" width="20.140625" style="131"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938" t="s">
        <v>993</v>
      </c>
      <c r="B1" s="939"/>
      <c r="C1" s="939"/>
      <c r="D1" s="939"/>
      <c r="E1" s="939"/>
      <c r="F1" s="939"/>
      <c r="G1" s="939"/>
      <c r="H1" s="940"/>
      <c r="I1" s="198"/>
    </row>
    <row r="2" spans="1:9" ht="31.9" customHeight="1" x14ac:dyDescent="0.25">
      <c r="A2" s="916" t="s">
        <v>365</v>
      </c>
      <c r="B2" s="917"/>
      <c r="C2" s="917"/>
      <c r="D2" s="917"/>
      <c r="E2" s="917"/>
      <c r="F2" s="917"/>
      <c r="G2" s="917"/>
      <c r="H2" s="918"/>
    </row>
    <row r="3" spans="1:9" ht="24" customHeight="1" x14ac:dyDescent="0.25">
      <c r="A3" s="941" t="s">
        <v>180</v>
      </c>
      <c r="B3" s="942" t="s">
        <v>299</v>
      </c>
      <c r="C3" s="944">
        <v>2018</v>
      </c>
      <c r="D3" s="945"/>
      <c r="E3" s="944">
        <v>2019</v>
      </c>
      <c r="F3" s="945"/>
      <c r="G3" s="944" t="s">
        <v>994</v>
      </c>
      <c r="H3" s="946"/>
    </row>
    <row r="4" spans="1:9" s="10" customFormat="1" ht="31.5" x14ac:dyDescent="0.25">
      <c r="A4" s="941"/>
      <c r="B4" s="943"/>
      <c r="C4" s="364" t="s">
        <v>300</v>
      </c>
      <c r="D4" s="364" t="s">
        <v>301</v>
      </c>
      <c r="E4" s="364" t="s">
        <v>300</v>
      </c>
      <c r="F4" s="364" t="s">
        <v>301</v>
      </c>
      <c r="G4" s="364" t="s">
        <v>300</v>
      </c>
      <c r="H4" s="365" t="s">
        <v>301</v>
      </c>
      <c r="I4" s="1"/>
    </row>
    <row r="5" spans="1:9" s="10" customFormat="1" x14ac:dyDescent="0.25">
      <c r="A5" s="363"/>
      <c r="B5" s="322"/>
      <c r="C5" s="364" t="s">
        <v>257</v>
      </c>
      <c r="D5" s="364" t="s">
        <v>258</v>
      </c>
      <c r="E5" s="364" t="s">
        <v>259</v>
      </c>
      <c r="F5" s="364" t="s">
        <v>266</v>
      </c>
      <c r="G5" s="364" t="s">
        <v>30</v>
      </c>
      <c r="H5" s="365" t="s">
        <v>31</v>
      </c>
      <c r="I5" s="436"/>
    </row>
    <row r="6" spans="1:9" x14ac:dyDescent="0.25">
      <c r="A6" s="31">
        <v>1</v>
      </c>
      <c r="B6" s="59" t="s">
        <v>234</v>
      </c>
      <c r="C6" s="559">
        <f>SUM(C7:C10)</f>
        <v>0</v>
      </c>
      <c r="D6" s="559">
        <f>SUM(D7:D10)</f>
        <v>72634.58</v>
      </c>
      <c r="E6" s="559">
        <f>SUM(E7:E10)</f>
        <v>0</v>
      </c>
      <c r="F6" s="559">
        <f t="shared" ref="F6" si="0">SUM(F7:F10)</f>
        <v>0</v>
      </c>
      <c r="G6" s="155">
        <f>E6-C6</f>
        <v>0</v>
      </c>
      <c r="H6" s="156">
        <f t="shared" ref="G6:H70" si="1">F6-D6</f>
        <v>-72634.58</v>
      </c>
    </row>
    <row r="7" spans="1:9" x14ac:dyDescent="0.25">
      <c r="A7" s="31">
        <f>A6+1</f>
        <v>2</v>
      </c>
      <c r="B7" s="294" t="s">
        <v>249</v>
      </c>
      <c r="C7" s="560">
        <v>0</v>
      </c>
      <c r="D7" s="560">
        <v>0</v>
      </c>
      <c r="E7" s="560">
        <v>0</v>
      </c>
      <c r="F7" s="560">
        <v>0</v>
      </c>
      <c r="G7" s="155">
        <f>E7-C7</f>
        <v>0</v>
      </c>
      <c r="H7" s="156">
        <f t="shared" si="1"/>
        <v>0</v>
      </c>
      <c r="I7" s="366"/>
    </row>
    <row r="8" spans="1:9" x14ac:dyDescent="0.25">
      <c r="A8" s="31">
        <f t="shared" ref="A8:A70" si="2">A7+1</f>
        <v>3</v>
      </c>
      <c r="B8" s="294" t="s">
        <v>273</v>
      </c>
      <c r="C8" s="560">
        <v>0</v>
      </c>
      <c r="D8" s="560">
        <v>0</v>
      </c>
      <c r="E8" s="560">
        <v>0</v>
      </c>
      <c r="F8" s="560">
        <v>0</v>
      </c>
      <c r="G8" s="155">
        <f t="shared" si="1"/>
        <v>0</v>
      </c>
      <c r="H8" s="156">
        <f t="shared" si="1"/>
        <v>0</v>
      </c>
      <c r="I8" s="366"/>
    </row>
    <row r="9" spans="1:9" x14ac:dyDescent="0.25">
      <c r="A9" s="31">
        <f t="shared" si="2"/>
        <v>4</v>
      </c>
      <c r="B9" s="294" t="s">
        <v>54</v>
      </c>
      <c r="C9" s="560">
        <v>0</v>
      </c>
      <c r="D9" s="560">
        <v>0</v>
      </c>
      <c r="E9" s="560">
        <v>0</v>
      </c>
      <c r="F9" s="560">
        <v>0</v>
      </c>
      <c r="G9" s="155">
        <f>E9-C9</f>
        <v>0</v>
      </c>
      <c r="H9" s="156">
        <f t="shared" si="1"/>
        <v>0</v>
      </c>
      <c r="I9" s="366"/>
    </row>
    <row r="10" spans="1:9" x14ac:dyDescent="0.25">
      <c r="A10" s="31">
        <f t="shared" si="2"/>
        <v>5</v>
      </c>
      <c r="B10" s="294" t="s">
        <v>272</v>
      </c>
      <c r="C10" s="560">
        <v>0</v>
      </c>
      <c r="D10" s="560">
        <v>72634.58</v>
      </c>
      <c r="E10" s="560">
        <v>0</v>
      </c>
      <c r="F10" s="560">
        <v>0</v>
      </c>
      <c r="G10" s="155">
        <f t="shared" si="1"/>
        <v>0</v>
      </c>
      <c r="H10" s="156">
        <f t="shared" si="1"/>
        <v>-72634.58</v>
      </c>
      <c r="I10" s="366"/>
    </row>
    <row r="11" spans="1:9" x14ac:dyDescent="0.25">
      <c r="A11" s="31">
        <f t="shared" si="2"/>
        <v>6</v>
      </c>
      <c r="B11" s="310" t="s">
        <v>775</v>
      </c>
      <c r="C11" s="559">
        <f>SUM(C12:C15)</f>
        <v>4640311.32</v>
      </c>
      <c r="D11" s="559">
        <f>SUM(D12:D15)</f>
        <v>6370061.6200000001</v>
      </c>
      <c r="E11" s="559">
        <f t="shared" ref="E11:F11" si="3">SUM(E12:E15)</f>
        <v>4476204.5999999996</v>
      </c>
      <c r="F11" s="559">
        <f t="shared" si="3"/>
        <v>7192510.79</v>
      </c>
      <c r="G11" s="155">
        <f t="shared" si="1"/>
        <v>-164106.72000000067</v>
      </c>
      <c r="H11" s="156">
        <f t="shared" si="1"/>
        <v>822449.16999999993</v>
      </c>
    </row>
    <row r="12" spans="1:9" x14ac:dyDescent="0.25">
      <c r="A12" s="31">
        <f t="shared" si="2"/>
        <v>7</v>
      </c>
      <c r="B12" s="294" t="s">
        <v>87</v>
      </c>
      <c r="C12" s="560">
        <v>3952145.62</v>
      </c>
      <c r="D12" s="560">
        <v>0</v>
      </c>
      <c r="E12" s="560">
        <v>3848973.87</v>
      </c>
      <c r="F12" s="560">
        <v>11.64</v>
      </c>
      <c r="G12" s="155">
        <f t="shared" si="1"/>
        <v>-103171.75</v>
      </c>
      <c r="H12" s="156">
        <f t="shared" si="1"/>
        <v>11.64</v>
      </c>
    </row>
    <row r="13" spans="1:9" x14ac:dyDescent="0.25">
      <c r="A13" s="31">
        <f t="shared" si="2"/>
        <v>8</v>
      </c>
      <c r="B13" s="294" t="s">
        <v>88</v>
      </c>
      <c r="C13" s="560">
        <v>457881.78</v>
      </c>
      <c r="D13" s="560">
        <v>0</v>
      </c>
      <c r="E13" s="560">
        <v>433289.71</v>
      </c>
      <c r="F13" s="560">
        <v>371.47</v>
      </c>
      <c r="G13" s="155">
        <f t="shared" si="1"/>
        <v>-24592.070000000007</v>
      </c>
      <c r="H13" s="156">
        <f t="shared" si="1"/>
        <v>371.47</v>
      </c>
    </row>
    <row r="14" spans="1:9" x14ac:dyDescent="0.25">
      <c r="A14" s="31">
        <f>A13+1</f>
        <v>9</v>
      </c>
      <c r="B14" s="294" t="s">
        <v>89</v>
      </c>
      <c r="C14" s="560">
        <v>0</v>
      </c>
      <c r="D14" s="560">
        <v>1782741.26</v>
      </c>
      <c r="E14" s="560">
        <v>0</v>
      </c>
      <c r="F14" s="560">
        <v>1589737.33</v>
      </c>
      <c r="G14" s="155">
        <f t="shared" si="1"/>
        <v>0</v>
      </c>
      <c r="H14" s="156">
        <f t="shared" si="1"/>
        <v>-193003.92999999993</v>
      </c>
    </row>
    <row r="15" spans="1:9" x14ac:dyDescent="0.25">
      <c r="A15" s="265">
        <f t="shared" si="2"/>
        <v>10</v>
      </c>
      <c r="B15" s="294" t="s">
        <v>868</v>
      </c>
      <c r="C15" s="560">
        <v>230283.92</v>
      </c>
      <c r="D15" s="560">
        <v>4587320.3600000003</v>
      </c>
      <c r="E15" s="560">
        <v>193941.02</v>
      </c>
      <c r="F15" s="560">
        <v>5602390.3499999996</v>
      </c>
      <c r="G15" s="155">
        <f t="shared" si="1"/>
        <v>-36342.900000000023</v>
      </c>
      <c r="H15" s="156">
        <f t="shared" si="1"/>
        <v>1015069.9899999993</v>
      </c>
    </row>
    <row r="16" spans="1:9" x14ac:dyDescent="0.25">
      <c r="A16" s="31">
        <f t="shared" si="2"/>
        <v>11</v>
      </c>
      <c r="B16" s="310" t="s">
        <v>27</v>
      </c>
      <c r="C16" s="560">
        <v>0</v>
      </c>
      <c r="D16" s="560">
        <v>91814.24</v>
      </c>
      <c r="E16" s="560">
        <v>0</v>
      </c>
      <c r="F16" s="560">
        <v>84543.679999999993</v>
      </c>
      <c r="G16" s="155">
        <f t="shared" si="1"/>
        <v>0</v>
      </c>
      <c r="H16" s="156">
        <f t="shared" si="1"/>
        <v>-7270.5600000000122</v>
      </c>
    </row>
    <row r="17" spans="1:9" x14ac:dyDescent="0.25">
      <c r="A17" s="31">
        <f t="shared" si="2"/>
        <v>12</v>
      </c>
      <c r="B17" s="310" t="s">
        <v>852</v>
      </c>
      <c r="C17" s="560">
        <v>64387.23</v>
      </c>
      <c r="D17" s="560">
        <v>-26239.040000000001</v>
      </c>
      <c r="E17" s="560">
        <v>41170.959999999999</v>
      </c>
      <c r="F17" s="560">
        <v>-30271.51</v>
      </c>
      <c r="G17" s="155">
        <f t="shared" si="1"/>
        <v>-23216.270000000004</v>
      </c>
      <c r="H17" s="156">
        <f t="shared" si="1"/>
        <v>-4032.4699999999975</v>
      </c>
    </row>
    <row r="18" spans="1:9" x14ac:dyDescent="0.25">
      <c r="A18" s="31">
        <f t="shared" si="2"/>
        <v>13</v>
      </c>
      <c r="B18" s="310" t="s">
        <v>853</v>
      </c>
      <c r="C18" s="560">
        <v>0</v>
      </c>
      <c r="D18" s="560">
        <v>0</v>
      </c>
      <c r="E18" s="560">
        <v>0</v>
      </c>
      <c r="F18" s="560">
        <v>3273.8</v>
      </c>
      <c r="G18" s="155">
        <f t="shared" si="1"/>
        <v>0</v>
      </c>
      <c r="H18" s="156">
        <f t="shared" si="1"/>
        <v>3273.8</v>
      </c>
    </row>
    <row r="19" spans="1:9" x14ac:dyDescent="0.25">
      <c r="A19" s="31">
        <f t="shared" si="2"/>
        <v>14</v>
      </c>
      <c r="B19" s="310" t="s">
        <v>306</v>
      </c>
      <c r="C19" s="560">
        <v>1497.66</v>
      </c>
      <c r="D19" s="560">
        <v>17940.38</v>
      </c>
      <c r="E19" s="560">
        <v>5991.14</v>
      </c>
      <c r="F19" s="560">
        <v>33110.269999999997</v>
      </c>
      <c r="G19" s="155">
        <f t="shared" si="1"/>
        <v>4493.4800000000005</v>
      </c>
      <c r="H19" s="156">
        <f t="shared" si="1"/>
        <v>15169.889999999996</v>
      </c>
    </row>
    <row r="20" spans="1:9" x14ac:dyDescent="0.25">
      <c r="A20" s="31">
        <f t="shared" si="2"/>
        <v>15</v>
      </c>
      <c r="B20" s="310" t="s">
        <v>307</v>
      </c>
      <c r="C20" s="560">
        <v>0</v>
      </c>
      <c r="D20" s="560">
        <v>0</v>
      </c>
      <c r="E20" s="560">
        <v>0</v>
      </c>
      <c r="F20" s="560">
        <v>1368</v>
      </c>
      <c r="G20" s="155">
        <f t="shared" si="1"/>
        <v>0</v>
      </c>
      <c r="H20" s="156">
        <f t="shared" si="1"/>
        <v>1368</v>
      </c>
    </row>
    <row r="21" spans="1:9" x14ac:dyDescent="0.25">
      <c r="A21" s="31">
        <f t="shared" si="2"/>
        <v>16</v>
      </c>
      <c r="B21" s="310" t="s">
        <v>776</v>
      </c>
      <c r="C21" s="559">
        <f>SUM(C22:C23)</f>
        <v>0</v>
      </c>
      <c r="D21" s="559">
        <f>SUM(D22:D23)</f>
        <v>1176.3699999999999</v>
      </c>
      <c r="E21" s="559">
        <f t="shared" ref="E21:F21" si="4">SUM(E22:E23)</f>
        <v>0</v>
      </c>
      <c r="F21" s="559">
        <f t="shared" si="4"/>
        <v>1243.67</v>
      </c>
      <c r="G21" s="155">
        <f t="shared" si="1"/>
        <v>0</v>
      </c>
      <c r="H21" s="156">
        <f t="shared" si="1"/>
        <v>67.300000000000182</v>
      </c>
    </row>
    <row r="22" spans="1:9" x14ac:dyDescent="0.25">
      <c r="A22" s="31">
        <f t="shared" si="2"/>
        <v>17</v>
      </c>
      <c r="B22" s="294" t="s">
        <v>93</v>
      </c>
      <c r="C22" s="560">
        <v>0</v>
      </c>
      <c r="D22" s="560">
        <v>0</v>
      </c>
      <c r="E22" s="560">
        <v>0</v>
      </c>
      <c r="F22" s="560">
        <v>0</v>
      </c>
      <c r="G22" s="155">
        <f t="shared" si="1"/>
        <v>0</v>
      </c>
      <c r="H22" s="156">
        <f t="shared" si="1"/>
        <v>0</v>
      </c>
    </row>
    <row r="23" spans="1:9" x14ac:dyDescent="0.25">
      <c r="A23" s="31">
        <f t="shared" si="2"/>
        <v>18</v>
      </c>
      <c r="B23" s="294" t="s">
        <v>94</v>
      </c>
      <c r="C23" s="560">
        <v>0</v>
      </c>
      <c r="D23" s="561">
        <v>1176.3699999999999</v>
      </c>
      <c r="E23" s="560">
        <v>0</v>
      </c>
      <c r="F23" s="561">
        <v>1243.67</v>
      </c>
      <c r="G23" s="155">
        <f t="shared" si="1"/>
        <v>0</v>
      </c>
      <c r="H23" s="156">
        <f t="shared" si="1"/>
        <v>67.300000000000182</v>
      </c>
    </row>
    <row r="24" spans="1:9" x14ac:dyDescent="0.25">
      <c r="A24" s="31">
        <f t="shared" si="2"/>
        <v>19</v>
      </c>
      <c r="B24" s="310" t="s">
        <v>308</v>
      </c>
      <c r="C24" s="560">
        <v>65.2</v>
      </c>
      <c r="D24" s="560">
        <v>0</v>
      </c>
      <c r="E24" s="560">
        <v>198.36</v>
      </c>
      <c r="F24" s="560">
        <v>0</v>
      </c>
      <c r="G24" s="155">
        <f t="shared" si="1"/>
        <v>133.16000000000003</v>
      </c>
      <c r="H24" s="156">
        <f t="shared" si="1"/>
        <v>0</v>
      </c>
    </row>
    <row r="25" spans="1:9" x14ac:dyDescent="0.25">
      <c r="A25" s="31">
        <f t="shared" si="2"/>
        <v>20</v>
      </c>
      <c r="B25" s="521" t="s">
        <v>1125</v>
      </c>
      <c r="C25" s="559">
        <f>SUM(C26:C30)</f>
        <v>1345044.8</v>
      </c>
      <c r="D25" s="559">
        <f>D26+D27+D28+D30</f>
        <v>0</v>
      </c>
      <c r="E25" s="559">
        <f t="shared" ref="E25:F25" si="5">SUM(E26:E30)</f>
        <v>1247315.5</v>
      </c>
      <c r="F25" s="559">
        <f t="shared" si="5"/>
        <v>0</v>
      </c>
      <c r="G25" s="155">
        <f t="shared" ref="G25:G35" si="6">E25-C25</f>
        <v>-97729.300000000047</v>
      </c>
      <c r="H25" s="156">
        <f t="shared" ref="H25:H35" si="7">F25-D25</f>
        <v>0</v>
      </c>
      <c r="I25" s="524"/>
    </row>
    <row r="26" spans="1:9" x14ac:dyDescent="0.25">
      <c r="A26" s="31">
        <f t="shared" si="2"/>
        <v>21</v>
      </c>
      <c r="B26" s="297" t="s">
        <v>927</v>
      </c>
      <c r="C26" s="560">
        <v>923417.8</v>
      </c>
      <c r="D26" s="560">
        <v>0</v>
      </c>
      <c r="E26" s="560">
        <v>878573.5</v>
      </c>
      <c r="F26" s="560">
        <v>0</v>
      </c>
      <c r="G26" s="155">
        <f t="shared" si="6"/>
        <v>-44844.300000000047</v>
      </c>
      <c r="H26" s="156">
        <f t="shared" si="7"/>
        <v>0</v>
      </c>
    </row>
    <row r="27" spans="1:9" x14ac:dyDescent="0.25">
      <c r="A27" s="31">
        <f t="shared" si="2"/>
        <v>22</v>
      </c>
      <c r="B27" s="297" t="s">
        <v>928</v>
      </c>
      <c r="C27" s="560">
        <v>0</v>
      </c>
      <c r="D27" s="560">
        <v>0</v>
      </c>
      <c r="E27" s="560">
        <v>0</v>
      </c>
      <c r="F27" s="560">
        <v>0</v>
      </c>
      <c r="G27" s="155">
        <f t="shared" si="6"/>
        <v>0</v>
      </c>
      <c r="H27" s="156">
        <f t="shared" si="7"/>
        <v>0</v>
      </c>
    </row>
    <row r="28" spans="1:9" x14ac:dyDescent="0.25">
      <c r="A28" s="31">
        <f t="shared" si="2"/>
        <v>23</v>
      </c>
      <c r="B28" s="297" t="s">
        <v>979</v>
      </c>
      <c r="C28" s="560">
        <v>281390</v>
      </c>
      <c r="D28" s="560">
        <v>0</v>
      </c>
      <c r="E28" s="560">
        <v>224320</v>
      </c>
      <c r="F28" s="560">
        <v>0</v>
      </c>
      <c r="G28" s="155">
        <f t="shared" ref="G28" si="8">E28-C28</f>
        <v>-57070</v>
      </c>
      <c r="H28" s="156">
        <f t="shared" ref="H28" si="9">F28-D28</f>
        <v>0</v>
      </c>
      <c r="I28" s="198"/>
    </row>
    <row r="29" spans="1:9" x14ac:dyDescent="0.25">
      <c r="A29" s="31">
        <f t="shared" si="2"/>
        <v>24</v>
      </c>
      <c r="B29" s="297" t="s">
        <v>980</v>
      </c>
      <c r="C29" s="560">
        <v>136987</v>
      </c>
      <c r="D29" s="560"/>
      <c r="E29" s="560">
        <v>106072</v>
      </c>
      <c r="F29" s="560">
        <v>0</v>
      </c>
      <c r="G29" s="155">
        <f t="shared" si="6"/>
        <v>-30915</v>
      </c>
      <c r="H29" s="156">
        <f t="shared" si="7"/>
        <v>0</v>
      </c>
      <c r="I29" s="198"/>
    </row>
    <row r="30" spans="1:9" x14ac:dyDescent="0.25">
      <c r="A30" s="31">
        <f t="shared" si="2"/>
        <v>25</v>
      </c>
      <c r="B30" s="297" t="s">
        <v>929</v>
      </c>
      <c r="C30" s="560">
        <v>3250</v>
      </c>
      <c r="D30" s="560">
        <v>0</v>
      </c>
      <c r="E30" s="560">
        <v>38350</v>
      </c>
      <c r="F30" s="560">
        <v>0</v>
      </c>
      <c r="G30" s="155">
        <f t="shared" si="6"/>
        <v>35100</v>
      </c>
      <c r="H30" s="156">
        <f t="shared" si="7"/>
        <v>0</v>
      </c>
    </row>
    <row r="31" spans="1:9" x14ac:dyDescent="0.25">
      <c r="A31" s="31">
        <f t="shared" si="2"/>
        <v>26</v>
      </c>
      <c r="B31" s="74" t="s">
        <v>982</v>
      </c>
      <c r="C31" s="559">
        <f>SUM(C32:C37)</f>
        <v>333247.12999999995</v>
      </c>
      <c r="D31" s="559">
        <f>SUM(D32:D37)</f>
        <v>0</v>
      </c>
      <c r="E31" s="559">
        <f>SUM(E32:E37)</f>
        <v>292295.95</v>
      </c>
      <c r="F31" s="559">
        <f t="shared" ref="F31" si="10">SUM(F32:F37)</f>
        <v>109</v>
      </c>
      <c r="G31" s="155">
        <f t="shared" ref="G31" si="11">E31-C31</f>
        <v>-40951.179999999935</v>
      </c>
      <c r="H31" s="156">
        <f t="shared" ref="H31" si="12">F31-D31</f>
        <v>109</v>
      </c>
      <c r="I31" s="524"/>
    </row>
    <row r="32" spans="1:9" x14ac:dyDescent="0.25">
      <c r="A32" s="31">
        <f t="shared" si="2"/>
        <v>27</v>
      </c>
      <c r="B32" s="121" t="s">
        <v>930</v>
      </c>
      <c r="C32" s="560">
        <v>189745.96</v>
      </c>
      <c r="D32" s="560">
        <v>0</v>
      </c>
      <c r="E32" s="560">
        <v>186943</v>
      </c>
      <c r="F32" s="560">
        <v>0</v>
      </c>
      <c r="G32" s="155">
        <f t="shared" si="6"/>
        <v>-2802.9599999999919</v>
      </c>
      <c r="H32" s="156">
        <f t="shared" si="7"/>
        <v>0</v>
      </c>
    </row>
    <row r="33" spans="1:9" x14ac:dyDescent="0.25">
      <c r="A33" s="31">
        <f t="shared" si="2"/>
        <v>28</v>
      </c>
      <c r="B33" s="121" t="s">
        <v>931</v>
      </c>
      <c r="C33" s="560">
        <v>0</v>
      </c>
      <c r="D33" s="560">
        <v>0</v>
      </c>
      <c r="E33" s="560">
        <v>0</v>
      </c>
      <c r="F33" s="560">
        <v>0</v>
      </c>
      <c r="G33" s="155">
        <f t="shared" si="6"/>
        <v>0</v>
      </c>
      <c r="H33" s="156">
        <f t="shared" si="7"/>
        <v>0</v>
      </c>
      <c r="I33" s="568"/>
    </row>
    <row r="34" spans="1:9" x14ac:dyDescent="0.25">
      <c r="A34" s="31">
        <f t="shared" si="2"/>
        <v>29</v>
      </c>
      <c r="B34" s="121" t="s">
        <v>932</v>
      </c>
      <c r="C34" s="560">
        <v>0</v>
      </c>
      <c r="D34" s="560">
        <v>0</v>
      </c>
      <c r="E34" s="560">
        <v>0</v>
      </c>
      <c r="F34" s="560">
        <v>0</v>
      </c>
      <c r="G34" s="155">
        <f t="shared" si="6"/>
        <v>0</v>
      </c>
      <c r="H34" s="156">
        <f t="shared" si="7"/>
        <v>0</v>
      </c>
    </row>
    <row r="35" spans="1:9" x14ac:dyDescent="0.25">
      <c r="A35" s="31">
        <f t="shared" si="2"/>
        <v>30</v>
      </c>
      <c r="B35" s="121" t="s">
        <v>933</v>
      </c>
      <c r="C35" s="560">
        <v>139097.87</v>
      </c>
      <c r="D35" s="560">
        <v>0</v>
      </c>
      <c r="E35" s="560">
        <v>100283.95</v>
      </c>
      <c r="F35" s="560">
        <v>109</v>
      </c>
      <c r="G35" s="155">
        <f t="shared" si="6"/>
        <v>-38813.919999999998</v>
      </c>
      <c r="H35" s="156">
        <f t="shared" si="7"/>
        <v>109</v>
      </c>
      <c r="I35" s="568"/>
    </row>
    <row r="36" spans="1:9" x14ac:dyDescent="0.25">
      <c r="A36" s="31">
        <f t="shared" si="2"/>
        <v>31</v>
      </c>
      <c r="B36" s="121" t="s">
        <v>925</v>
      </c>
      <c r="C36" s="560">
        <v>1800</v>
      </c>
      <c r="D36" s="560">
        <v>0</v>
      </c>
      <c r="E36" s="560">
        <v>1654</v>
      </c>
      <c r="F36" s="560">
        <v>0</v>
      </c>
      <c r="G36" s="155">
        <f t="shared" ref="G36:G37" si="13">E36-C36</f>
        <v>-146</v>
      </c>
      <c r="H36" s="156">
        <f t="shared" ref="H36:H37" si="14">F36-D36</f>
        <v>0</v>
      </c>
    </row>
    <row r="37" spans="1:9" x14ac:dyDescent="0.25">
      <c r="A37" s="31">
        <f t="shared" si="2"/>
        <v>32</v>
      </c>
      <c r="B37" s="121" t="s">
        <v>926</v>
      </c>
      <c r="C37" s="560">
        <v>2603.3000000000002</v>
      </c>
      <c r="D37" s="560">
        <v>0</v>
      </c>
      <c r="E37" s="560">
        <v>3415</v>
      </c>
      <c r="F37" s="560">
        <v>0</v>
      </c>
      <c r="G37" s="155">
        <f t="shared" si="13"/>
        <v>811.69999999999982</v>
      </c>
      <c r="H37" s="156">
        <f t="shared" si="14"/>
        <v>0</v>
      </c>
    </row>
    <row r="38" spans="1:9" x14ac:dyDescent="0.25">
      <c r="A38" s="31">
        <f t="shared" si="2"/>
        <v>33</v>
      </c>
      <c r="B38" s="121" t="s">
        <v>985</v>
      </c>
      <c r="C38" s="560">
        <v>149041.47</v>
      </c>
      <c r="D38" s="560">
        <v>215846.5</v>
      </c>
      <c r="E38" s="560">
        <v>157012.81</v>
      </c>
      <c r="F38" s="560">
        <v>187402.48</v>
      </c>
      <c r="G38" s="155">
        <f t="shared" ref="G38" si="15">E38-C38</f>
        <v>7971.3399999999965</v>
      </c>
      <c r="H38" s="156">
        <f t="shared" ref="H38" si="16">F38-D38</f>
        <v>-28444.01999999999</v>
      </c>
      <c r="I38" s="198"/>
    </row>
    <row r="39" spans="1:9" s="362" customFormat="1" ht="18.600000000000001" customHeight="1" x14ac:dyDescent="0.3">
      <c r="A39" s="31">
        <f t="shared" si="2"/>
        <v>34</v>
      </c>
      <c r="B39" s="74" t="s">
        <v>983</v>
      </c>
      <c r="C39" s="559">
        <f>SUM(C40:C54)</f>
        <v>3034634.0700000003</v>
      </c>
      <c r="D39" s="559">
        <f>SUM(D40:D49)</f>
        <v>734293.54</v>
      </c>
      <c r="E39" s="567">
        <f>E40+E45+E49</f>
        <v>2726350.28</v>
      </c>
      <c r="F39" s="567">
        <f t="shared" ref="F39" si="17">SUM(F40:F49)</f>
        <v>785535.18</v>
      </c>
      <c r="G39" s="155">
        <f t="shared" ref="G39" si="18">E39-C39</f>
        <v>-308283.7900000005</v>
      </c>
      <c r="H39" s="156">
        <f t="shared" ref="H39" si="19">F39-D39</f>
        <v>51241.640000000014</v>
      </c>
      <c r="I39" s="1"/>
    </row>
    <row r="40" spans="1:9" x14ac:dyDescent="0.25">
      <c r="A40" s="31">
        <f t="shared" si="2"/>
        <v>35</v>
      </c>
      <c r="B40" s="121" t="s">
        <v>899</v>
      </c>
      <c r="C40" s="560">
        <v>16839.560000000001</v>
      </c>
      <c r="D40" s="560">
        <v>0</v>
      </c>
      <c r="E40" s="560">
        <v>30719.03</v>
      </c>
      <c r="F40" s="560">
        <v>0</v>
      </c>
      <c r="G40" s="155">
        <f t="shared" si="1"/>
        <v>13879.469999999998</v>
      </c>
      <c r="H40" s="156">
        <f t="shared" si="1"/>
        <v>0</v>
      </c>
    </row>
    <row r="41" spans="1:9" x14ac:dyDescent="0.25">
      <c r="A41" s="31">
        <f t="shared" si="2"/>
        <v>36</v>
      </c>
      <c r="B41" s="121" t="s">
        <v>95</v>
      </c>
      <c r="C41" s="560">
        <v>0</v>
      </c>
      <c r="D41" s="560">
        <v>0</v>
      </c>
      <c r="E41" s="560">
        <v>0</v>
      </c>
      <c r="F41" s="560">
        <v>0</v>
      </c>
      <c r="G41" s="155">
        <f t="shared" si="1"/>
        <v>0</v>
      </c>
      <c r="H41" s="156">
        <f t="shared" si="1"/>
        <v>0</v>
      </c>
    </row>
    <row r="42" spans="1:9" x14ac:dyDescent="0.25">
      <c r="A42" s="31">
        <f t="shared" si="2"/>
        <v>37</v>
      </c>
      <c r="B42" s="121" t="s">
        <v>96</v>
      </c>
      <c r="C42" s="560">
        <v>0</v>
      </c>
      <c r="D42" s="560">
        <v>0</v>
      </c>
      <c r="E42" s="560">
        <v>0</v>
      </c>
      <c r="F42" s="560">
        <v>0</v>
      </c>
      <c r="G42" s="155">
        <f t="shared" si="1"/>
        <v>0</v>
      </c>
      <c r="H42" s="156">
        <f t="shared" si="1"/>
        <v>0</v>
      </c>
    </row>
    <row r="43" spans="1:9" x14ac:dyDescent="0.25">
      <c r="A43" s="31">
        <f t="shared" si="2"/>
        <v>38</v>
      </c>
      <c r="B43" s="121" t="s">
        <v>97</v>
      </c>
      <c r="C43" s="560">
        <v>0</v>
      </c>
      <c r="D43" s="560">
        <v>0</v>
      </c>
      <c r="E43" s="560">
        <v>0</v>
      </c>
      <c r="F43" s="560">
        <v>0</v>
      </c>
      <c r="G43" s="155">
        <f t="shared" si="1"/>
        <v>0</v>
      </c>
      <c r="H43" s="156">
        <f t="shared" si="1"/>
        <v>0</v>
      </c>
    </row>
    <row r="44" spans="1:9" x14ac:dyDescent="0.25">
      <c r="A44" s="31">
        <f t="shared" si="2"/>
        <v>39</v>
      </c>
      <c r="B44" s="121" t="s">
        <v>98</v>
      </c>
      <c r="C44" s="560">
        <v>1619.93</v>
      </c>
      <c r="D44" s="560">
        <v>0</v>
      </c>
      <c r="E44" s="560">
        <v>0</v>
      </c>
      <c r="F44" s="560">
        <v>0</v>
      </c>
      <c r="G44" s="155">
        <f t="shared" si="1"/>
        <v>-1619.93</v>
      </c>
      <c r="H44" s="156">
        <f t="shared" si="1"/>
        <v>0</v>
      </c>
    </row>
    <row r="45" spans="1:9" x14ac:dyDescent="0.25">
      <c r="A45" s="31">
        <f t="shared" si="2"/>
        <v>40</v>
      </c>
      <c r="B45" s="121" t="s">
        <v>99</v>
      </c>
      <c r="C45" s="560">
        <v>1677632.96</v>
      </c>
      <c r="D45" s="560">
        <v>27.06</v>
      </c>
      <c r="E45" s="560">
        <v>1774144.64</v>
      </c>
      <c r="F45" s="560">
        <v>-3.08</v>
      </c>
      <c r="G45" s="155">
        <f t="shared" si="1"/>
        <v>96511.679999999935</v>
      </c>
      <c r="H45" s="156">
        <f t="shared" si="1"/>
        <v>-30.14</v>
      </c>
    </row>
    <row r="46" spans="1:9" x14ac:dyDescent="0.25">
      <c r="A46" s="31">
        <f t="shared" si="2"/>
        <v>41</v>
      </c>
      <c r="B46" s="445" t="s">
        <v>758</v>
      </c>
      <c r="C46" s="560">
        <v>0</v>
      </c>
      <c r="D46" s="560">
        <v>0</v>
      </c>
      <c r="E46" s="560">
        <v>0</v>
      </c>
      <c r="F46" s="560">
        <v>0</v>
      </c>
      <c r="G46" s="155">
        <f t="shared" si="1"/>
        <v>0</v>
      </c>
      <c r="H46" s="156">
        <f t="shared" si="1"/>
        <v>0</v>
      </c>
    </row>
    <row r="47" spans="1:9" x14ac:dyDescent="0.25">
      <c r="A47" s="31">
        <f t="shared" si="2"/>
        <v>42</v>
      </c>
      <c r="B47" s="121" t="s">
        <v>100</v>
      </c>
      <c r="C47" s="560">
        <v>5725.16</v>
      </c>
      <c r="D47" s="560">
        <v>16.59</v>
      </c>
      <c r="E47" s="560">
        <v>0</v>
      </c>
      <c r="F47" s="560">
        <v>0</v>
      </c>
      <c r="G47" s="155">
        <f t="shared" si="1"/>
        <v>-5725.16</v>
      </c>
      <c r="H47" s="156">
        <f t="shared" si="1"/>
        <v>-16.59</v>
      </c>
    </row>
    <row r="48" spans="1:9" x14ac:dyDescent="0.25">
      <c r="A48" s="31">
        <f t="shared" si="2"/>
        <v>43</v>
      </c>
      <c r="B48" s="121" t="s">
        <v>869</v>
      </c>
      <c r="C48" s="560">
        <v>23642.86</v>
      </c>
      <c r="D48" s="560">
        <v>0</v>
      </c>
      <c r="E48" s="560">
        <v>0</v>
      </c>
      <c r="F48" s="560">
        <v>0</v>
      </c>
      <c r="G48" s="155">
        <f t="shared" ref="G48" si="20">E48-C48</f>
        <v>-23642.86</v>
      </c>
      <c r="H48" s="156">
        <f t="shared" ref="H48" si="21">F48-D48</f>
        <v>0</v>
      </c>
    </row>
    <row r="49" spans="1:9" x14ac:dyDescent="0.25">
      <c r="A49" s="31">
        <f t="shared" si="2"/>
        <v>44</v>
      </c>
      <c r="B49" s="121" t="s">
        <v>986</v>
      </c>
      <c r="C49" s="560">
        <v>1309173.6000000001</v>
      </c>
      <c r="D49" s="560">
        <v>734249.89</v>
      </c>
      <c r="E49" s="560">
        <v>921486.61</v>
      </c>
      <c r="F49" s="560">
        <v>785538.26</v>
      </c>
      <c r="G49" s="155">
        <f t="shared" si="1"/>
        <v>-387686.99000000011</v>
      </c>
      <c r="H49" s="156">
        <f t="shared" si="1"/>
        <v>51288.369999999995</v>
      </c>
      <c r="I49" s="198"/>
    </row>
    <row r="50" spans="1:9" x14ac:dyDescent="0.25">
      <c r="A50" s="31">
        <f t="shared" si="2"/>
        <v>45</v>
      </c>
      <c r="B50" s="74" t="s">
        <v>315</v>
      </c>
      <c r="C50" s="560">
        <v>0</v>
      </c>
      <c r="D50" s="560">
        <v>78320</v>
      </c>
      <c r="E50" s="560">
        <v>0</v>
      </c>
      <c r="F50" s="560">
        <v>86500</v>
      </c>
      <c r="G50" s="155">
        <f t="shared" si="1"/>
        <v>0</v>
      </c>
      <c r="H50" s="156">
        <f t="shared" si="1"/>
        <v>8180</v>
      </c>
    </row>
    <row r="51" spans="1:9" x14ac:dyDescent="0.25">
      <c r="A51" s="31">
        <f t="shared" si="2"/>
        <v>46</v>
      </c>
      <c r="B51" s="74" t="s">
        <v>129</v>
      </c>
      <c r="C51" s="560">
        <v>0</v>
      </c>
      <c r="D51" s="560">
        <v>0</v>
      </c>
      <c r="E51" s="560">
        <v>0</v>
      </c>
      <c r="F51" s="560">
        <v>0</v>
      </c>
      <c r="G51" s="155">
        <f t="shared" si="1"/>
        <v>0</v>
      </c>
      <c r="H51" s="156">
        <f t="shared" si="1"/>
        <v>0</v>
      </c>
    </row>
    <row r="52" spans="1:9" x14ac:dyDescent="0.25">
      <c r="A52" s="31">
        <f t="shared" si="2"/>
        <v>47</v>
      </c>
      <c r="B52" s="74" t="s">
        <v>127</v>
      </c>
      <c r="C52" s="560">
        <v>0</v>
      </c>
      <c r="D52" s="560">
        <v>0</v>
      </c>
      <c r="E52" s="560">
        <v>0</v>
      </c>
      <c r="F52" s="560">
        <v>0</v>
      </c>
      <c r="G52" s="155">
        <f t="shared" si="1"/>
        <v>0</v>
      </c>
      <c r="H52" s="156">
        <f t="shared" si="1"/>
        <v>0</v>
      </c>
    </row>
    <row r="53" spans="1:9" x14ac:dyDescent="0.25">
      <c r="A53" s="31">
        <f t="shared" si="2"/>
        <v>48</v>
      </c>
      <c r="B53" s="74" t="s">
        <v>294</v>
      </c>
      <c r="C53" s="560">
        <v>0</v>
      </c>
      <c r="D53" s="560">
        <v>110.4</v>
      </c>
      <c r="E53" s="560">
        <v>0</v>
      </c>
      <c r="F53" s="560">
        <v>0</v>
      </c>
      <c r="G53" s="155">
        <f t="shared" si="1"/>
        <v>0</v>
      </c>
      <c r="H53" s="156">
        <f t="shared" si="1"/>
        <v>-110.4</v>
      </c>
    </row>
    <row r="54" spans="1:9" x14ac:dyDescent="0.25">
      <c r="A54" s="31">
        <f t="shared" si="2"/>
        <v>49</v>
      </c>
      <c r="B54" s="74" t="s">
        <v>235</v>
      </c>
      <c r="C54" s="560">
        <v>0</v>
      </c>
      <c r="D54" s="560">
        <v>0</v>
      </c>
      <c r="E54" s="560">
        <v>0</v>
      </c>
      <c r="F54" s="560">
        <v>0</v>
      </c>
      <c r="G54" s="155">
        <f t="shared" si="1"/>
        <v>0</v>
      </c>
      <c r="H54" s="156">
        <f t="shared" si="1"/>
        <v>0</v>
      </c>
    </row>
    <row r="55" spans="1:9" ht="18.75" x14ac:dyDescent="0.25">
      <c r="A55" s="31">
        <f t="shared" si="2"/>
        <v>50</v>
      </c>
      <c r="B55" s="521" t="s">
        <v>1124</v>
      </c>
      <c r="C55" s="562">
        <f>SUM(C56:C60)</f>
        <v>686948.1</v>
      </c>
      <c r="D55" s="562">
        <f>SUM(D56:D60)</f>
        <v>0</v>
      </c>
      <c r="E55" s="562">
        <f t="shared" ref="E55:F55" si="22">SUM(E56:E61)</f>
        <v>954053.75</v>
      </c>
      <c r="F55" s="562">
        <f t="shared" si="22"/>
        <v>0</v>
      </c>
      <c r="G55" s="155">
        <f t="shared" si="1"/>
        <v>267105.65000000002</v>
      </c>
      <c r="H55" s="156">
        <f t="shared" si="1"/>
        <v>0</v>
      </c>
      <c r="I55" s="524"/>
    </row>
    <row r="56" spans="1:9" x14ac:dyDescent="0.25">
      <c r="A56" s="31">
        <f t="shared" si="2"/>
        <v>51</v>
      </c>
      <c r="B56" s="121" t="s">
        <v>214</v>
      </c>
      <c r="C56" s="560">
        <v>225420.33</v>
      </c>
      <c r="D56" s="563" t="s">
        <v>285</v>
      </c>
      <c r="E56" s="560">
        <v>411441.49</v>
      </c>
      <c r="F56" s="563" t="s">
        <v>285</v>
      </c>
      <c r="G56" s="155">
        <f t="shared" si="1"/>
        <v>186021.16</v>
      </c>
      <c r="H56" s="156" t="s">
        <v>285</v>
      </c>
    </row>
    <row r="57" spans="1:9" x14ac:dyDescent="0.25">
      <c r="A57" s="31">
        <f t="shared" si="2"/>
        <v>52</v>
      </c>
      <c r="B57" s="121" t="s">
        <v>101</v>
      </c>
      <c r="C57" s="560">
        <v>118878</v>
      </c>
      <c r="D57" s="563" t="s">
        <v>285</v>
      </c>
      <c r="E57" s="560">
        <v>233106.84</v>
      </c>
      <c r="F57" s="563" t="s">
        <v>285</v>
      </c>
      <c r="G57" s="155">
        <f t="shared" si="1"/>
        <v>114228.84</v>
      </c>
      <c r="H57" s="156" t="s">
        <v>285</v>
      </c>
    </row>
    <row r="58" spans="1:9" ht="31.5" x14ac:dyDescent="0.25">
      <c r="A58" s="31">
        <f t="shared" si="2"/>
        <v>53</v>
      </c>
      <c r="B58" s="121" t="s">
        <v>819</v>
      </c>
      <c r="C58" s="560">
        <v>1118</v>
      </c>
      <c r="D58" s="563" t="s">
        <v>285</v>
      </c>
      <c r="E58" s="560">
        <v>113.31</v>
      </c>
      <c r="F58" s="563" t="s">
        <v>285</v>
      </c>
      <c r="G58" s="155">
        <f t="shared" si="1"/>
        <v>-1004.69</v>
      </c>
      <c r="H58" s="156" t="s">
        <v>285</v>
      </c>
    </row>
    <row r="59" spans="1:9" ht="18.75" x14ac:dyDescent="0.25">
      <c r="A59" s="31">
        <f t="shared" si="2"/>
        <v>54</v>
      </c>
      <c r="B59" s="121" t="s">
        <v>955</v>
      </c>
      <c r="C59" s="560">
        <v>0</v>
      </c>
      <c r="D59" s="563" t="s">
        <v>285</v>
      </c>
      <c r="E59" s="560">
        <v>0</v>
      </c>
      <c r="F59" s="563" t="s">
        <v>285</v>
      </c>
      <c r="G59" s="155">
        <f t="shared" si="1"/>
        <v>0</v>
      </c>
      <c r="H59" s="156" t="s">
        <v>285</v>
      </c>
    </row>
    <row r="60" spans="1:9" x14ac:dyDescent="0.25">
      <c r="A60" s="31">
        <f t="shared" si="2"/>
        <v>55</v>
      </c>
      <c r="B60" s="121" t="s">
        <v>813</v>
      </c>
      <c r="C60" s="560">
        <v>341531.77</v>
      </c>
      <c r="D60" s="563" t="s">
        <v>285</v>
      </c>
      <c r="E60" s="560">
        <v>309392.11</v>
      </c>
      <c r="F60" s="563" t="s">
        <v>285</v>
      </c>
      <c r="G60" s="155">
        <f t="shared" si="1"/>
        <v>-32139.660000000033</v>
      </c>
      <c r="H60" s="156" t="s">
        <v>285</v>
      </c>
    </row>
    <row r="61" spans="1:9" x14ac:dyDescent="0.25">
      <c r="A61" s="31">
        <f t="shared" si="2"/>
        <v>56</v>
      </c>
      <c r="B61" s="74" t="s">
        <v>316</v>
      </c>
      <c r="C61" s="560">
        <v>0</v>
      </c>
      <c r="D61" s="560"/>
      <c r="E61" s="560">
        <v>0</v>
      </c>
      <c r="F61" s="560">
        <v>0</v>
      </c>
      <c r="G61" s="155">
        <f t="shared" si="1"/>
        <v>0</v>
      </c>
      <c r="H61" s="156">
        <f t="shared" si="1"/>
        <v>0</v>
      </c>
    </row>
    <row r="62" spans="1:9" x14ac:dyDescent="0.25">
      <c r="A62" s="31">
        <f t="shared" si="2"/>
        <v>57</v>
      </c>
      <c r="B62" s="74" t="s">
        <v>128</v>
      </c>
      <c r="C62" s="560">
        <v>1480</v>
      </c>
      <c r="D62" s="560">
        <v>1500767.71</v>
      </c>
      <c r="E62" s="560">
        <v>913.33</v>
      </c>
      <c r="F62" s="560">
        <v>1505687.43</v>
      </c>
      <c r="G62" s="155">
        <f t="shared" si="1"/>
        <v>-566.66999999999996</v>
      </c>
      <c r="H62" s="156">
        <f t="shared" si="1"/>
        <v>4919.7199999999721</v>
      </c>
    </row>
    <row r="63" spans="1:9" x14ac:dyDescent="0.25">
      <c r="A63" s="31">
        <f t="shared" si="2"/>
        <v>58</v>
      </c>
      <c r="B63" s="446" t="s">
        <v>130</v>
      </c>
      <c r="C63" s="560">
        <v>102002.51</v>
      </c>
      <c r="D63" s="560">
        <v>0</v>
      </c>
      <c r="E63" s="560">
        <v>111783.3</v>
      </c>
      <c r="F63" s="560">
        <v>0</v>
      </c>
      <c r="G63" s="155">
        <f t="shared" si="1"/>
        <v>9780.7900000000081</v>
      </c>
      <c r="H63" s="156">
        <f t="shared" si="1"/>
        <v>0</v>
      </c>
      <c r="I63" s="198"/>
    </row>
    <row r="64" spans="1:9" x14ac:dyDescent="0.25">
      <c r="A64" s="31">
        <f t="shared" si="2"/>
        <v>59</v>
      </c>
      <c r="B64" s="446" t="s">
        <v>914</v>
      </c>
      <c r="C64" s="560">
        <v>0</v>
      </c>
      <c r="D64" s="560">
        <v>0</v>
      </c>
      <c r="E64" s="560">
        <v>0</v>
      </c>
      <c r="F64" s="560">
        <v>0</v>
      </c>
      <c r="G64" s="155">
        <f t="shared" ref="G64" si="23">E64-C64</f>
        <v>0</v>
      </c>
      <c r="H64" s="156">
        <f t="shared" ref="H64" si="24">F64-D64</f>
        <v>0</v>
      </c>
      <c r="I64" s="198"/>
    </row>
    <row r="65" spans="1:9" x14ac:dyDescent="0.25">
      <c r="A65" s="31">
        <f t="shared" si="2"/>
        <v>60</v>
      </c>
      <c r="B65" s="447" t="s">
        <v>854</v>
      </c>
      <c r="C65" s="560">
        <v>14193.3</v>
      </c>
      <c r="D65" s="560">
        <v>0</v>
      </c>
      <c r="E65" s="560">
        <v>3043.74</v>
      </c>
      <c r="F65" s="560">
        <v>0</v>
      </c>
      <c r="G65" s="155">
        <f>E65-C65</f>
        <v>-11149.56</v>
      </c>
      <c r="H65" s="156">
        <f t="shared" si="1"/>
        <v>0</v>
      </c>
      <c r="I65" s="198"/>
    </row>
    <row r="66" spans="1:9" x14ac:dyDescent="0.25">
      <c r="A66" s="31">
        <f t="shared" si="2"/>
        <v>61</v>
      </c>
      <c r="B66" s="447" t="s">
        <v>870</v>
      </c>
      <c r="C66" s="560">
        <v>0</v>
      </c>
      <c r="D66" s="560">
        <v>0</v>
      </c>
      <c r="E66" s="560">
        <v>0</v>
      </c>
      <c r="F66" s="560">
        <v>0</v>
      </c>
      <c r="G66" s="155">
        <f>E66-C66</f>
        <v>0</v>
      </c>
      <c r="H66" s="156">
        <f t="shared" ref="H66" si="25">F66-D66</f>
        <v>0</v>
      </c>
      <c r="I66" s="198"/>
    </row>
    <row r="67" spans="1:9" x14ac:dyDescent="0.25">
      <c r="A67" s="31">
        <f t="shared" si="2"/>
        <v>62</v>
      </c>
      <c r="B67" s="74" t="s">
        <v>131</v>
      </c>
      <c r="C67" s="560">
        <v>82074601.920000002</v>
      </c>
      <c r="D67" s="560">
        <v>0</v>
      </c>
      <c r="E67" s="560">
        <v>86093674.519999996</v>
      </c>
      <c r="F67" s="560">
        <v>0</v>
      </c>
      <c r="G67" s="155">
        <f t="shared" si="1"/>
        <v>4019072.599999994</v>
      </c>
      <c r="H67" s="156">
        <f t="shared" si="1"/>
        <v>0</v>
      </c>
    </row>
    <row r="68" spans="1:9" x14ac:dyDescent="0.25">
      <c r="A68" s="31">
        <f t="shared" si="2"/>
        <v>63</v>
      </c>
      <c r="B68" s="448" t="s">
        <v>274</v>
      </c>
      <c r="C68" s="564"/>
      <c r="D68" s="564"/>
      <c r="E68" s="564"/>
      <c r="F68" s="564"/>
      <c r="G68" s="155">
        <f t="shared" si="1"/>
        <v>0</v>
      </c>
      <c r="H68" s="156">
        <f t="shared" si="1"/>
        <v>0</v>
      </c>
    </row>
    <row r="69" spans="1:9" x14ac:dyDescent="0.25">
      <c r="A69" s="31">
        <f t="shared" si="2"/>
        <v>64</v>
      </c>
      <c r="B69" s="448" t="s">
        <v>149</v>
      </c>
      <c r="C69" s="565">
        <v>12390048.02</v>
      </c>
      <c r="D69" s="565">
        <v>0</v>
      </c>
      <c r="E69" s="565">
        <v>11726655.43</v>
      </c>
      <c r="F69" s="565">
        <v>0</v>
      </c>
      <c r="G69" s="155">
        <f t="shared" si="1"/>
        <v>-663392.58999999985</v>
      </c>
      <c r="H69" s="156">
        <f t="shared" si="1"/>
        <v>0</v>
      </c>
    </row>
    <row r="70" spans="1:9" s="127" customFormat="1" ht="49.5" customHeight="1" thickBot="1" x14ac:dyDescent="0.3">
      <c r="A70" s="31">
        <f t="shared" si="2"/>
        <v>65</v>
      </c>
      <c r="B70" s="522" t="s">
        <v>1126</v>
      </c>
      <c r="C70" s="58">
        <f>C6+C11+C16+C17+C18+C19+C20+C21+C24+C25+C31+C38+C39+C50+C51+C52+C53+C54+C55+C61+C62+C63+C64+C65+C66+C67</f>
        <v>92447454.710000008</v>
      </c>
      <c r="D70" s="58">
        <f t="shared" ref="D70:F70" si="26">D6+D11+D16+D17+D18+D19+D20+D21+D24+D25+D31+D38+D39+D50+D51+D52+D53+D54+D55+D61+D62+D63+D64+D65+D66+D67</f>
        <v>9056726.3000000007</v>
      </c>
      <c r="E70" s="388">
        <f t="shared" si="26"/>
        <v>96110008.239999995</v>
      </c>
      <c r="F70" s="388">
        <f t="shared" si="26"/>
        <v>9851012.7899999991</v>
      </c>
      <c r="G70" s="162">
        <f t="shared" si="1"/>
        <v>3662553.5299999863</v>
      </c>
      <c r="H70" s="163">
        <f t="shared" si="1"/>
        <v>794286.48999999836</v>
      </c>
      <c r="I70" s="408"/>
    </row>
    <row r="71" spans="1:9" ht="21" customHeight="1" x14ac:dyDescent="0.25">
      <c r="B71" s="3"/>
      <c r="C71" s="3"/>
      <c r="D71" s="566">
        <f>C70+D70</f>
        <v>101504181.01000001</v>
      </c>
      <c r="E71" s="355"/>
      <c r="F71" s="354">
        <f>E70+F70</f>
        <v>105961021.03</v>
      </c>
      <c r="G71" s="3"/>
      <c r="H71" s="3"/>
      <c r="I71" s="356"/>
    </row>
    <row r="72" spans="1:9" x14ac:dyDescent="0.25">
      <c r="A72" s="932" t="s">
        <v>956</v>
      </c>
      <c r="B72" s="933"/>
      <c r="C72" s="933"/>
      <c r="D72" s="933"/>
      <c r="E72" s="933"/>
      <c r="F72" s="933"/>
      <c r="G72" s="933"/>
      <c r="H72" s="934"/>
      <c r="I72" s="366"/>
    </row>
    <row r="73" spans="1:9" ht="30.75" customHeight="1" x14ac:dyDescent="0.25">
      <c r="A73" s="935" t="s">
        <v>215</v>
      </c>
      <c r="B73" s="936"/>
      <c r="C73" s="936"/>
      <c r="D73" s="936"/>
      <c r="E73" s="936"/>
      <c r="F73" s="936"/>
      <c r="G73" s="936"/>
      <c r="H73" s="937"/>
    </row>
    <row r="75" spans="1:9" x14ac:dyDescent="0.25">
      <c r="C75" s="407"/>
    </row>
    <row r="76" spans="1:9" ht="18.75" customHeight="1" x14ac:dyDescent="0.25"/>
    <row r="78" spans="1:9" x14ac:dyDescent="0.25">
      <c r="C78" s="618"/>
      <c r="D78" s="618"/>
      <c r="E78" s="618"/>
    </row>
    <row r="79" spans="1:9" x14ac:dyDescent="0.25">
      <c r="C79" s="618"/>
      <c r="D79" s="618"/>
      <c r="E79" s="618"/>
    </row>
    <row r="80" spans="1:9" x14ac:dyDescent="0.25">
      <c r="C80" s="618"/>
      <c r="D80" s="618"/>
      <c r="E80" s="618"/>
    </row>
  </sheetData>
  <mergeCells count="9">
    <mergeCell ref="A72:H72"/>
    <mergeCell ref="A73:H73"/>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portrait"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opLeftCell="A6" zoomScale="80" zoomScaleNormal="80" workbookViewId="0">
      <selection activeCell="B20" sqref="B20:E27"/>
    </sheetView>
  </sheetViews>
  <sheetFormatPr defaultColWidth="9.140625" defaultRowHeight="15.75" x14ac:dyDescent="0.25"/>
  <cols>
    <col min="1" max="1" width="7.85546875" style="3" customWidth="1"/>
    <col min="2" max="2" width="98.28515625" style="6"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947" t="s">
        <v>995</v>
      </c>
      <c r="B1" s="948"/>
      <c r="C1" s="948"/>
      <c r="D1" s="949"/>
      <c r="E1" s="198"/>
    </row>
    <row r="2" spans="1:9" ht="37.5" customHeight="1" x14ac:dyDescent="0.25">
      <c r="A2" s="916" t="s">
        <v>367</v>
      </c>
      <c r="B2" s="917"/>
      <c r="C2" s="917"/>
      <c r="D2" s="918"/>
    </row>
    <row r="3" spans="1:9" s="10" customFormat="1" ht="31.5" x14ac:dyDescent="0.25">
      <c r="A3" s="330" t="s">
        <v>180</v>
      </c>
      <c r="B3" s="332" t="s">
        <v>299</v>
      </c>
      <c r="C3" s="331">
        <v>2018</v>
      </c>
      <c r="D3" s="309">
        <v>2019</v>
      </c>
    </row>
    <row r="4" spans="1:9" s="10" customFormat="1" x14ac:dyDescent="0.25">
      <c r="A4" s="330"/>
      <c r="B4" s="332"/>
      <c r="C4" s="331" t="s">
        <v>257</v>
      </c>
      <c r="D4" s="309" t="s">
        <v>258</v>
      </c>
      <c r="F4" s="88"/>
    </row>
    <row r="5" spans="1:9" x14ac:dyDescent="0.25">
      <c r="A5" s="31">
        <v>1</v>
      </c>
      <c r="B5" s="310" t="s">
        <v>939</v>
      </c>
      <c r="C5" s="572">
        <f>+SUM(C6:C9)</f>
        <v>1345044.8</v>
      </c>
      <c r="D5" s="572">
        <f>+SUM(D6:D9)</f>
        <v>1247315.5</v>
      </c>
      <c r="E5" s="10"/>
      <c r="F5" s="318"/>
      <c r="G5" s="212"/>
    </row>
    <row r="6" spans="1:9" x14ac:dyDescent="0.25">
      <c r="A6" s="31">
        <v>2</v>
      </c>
      <c r="B6" s="45" t="s">
        <v>917</v>
      </c>
      <c r="C6" s="573">
        <v>3250</v>
      </c>
      <c r="D6" s="569">
        <v>38350</v>
      </c>
      <c r="E6" s="317"/>
      <c r="F6" s="10"/>
      <c r="I6" s="198"/>
    </row>
    <row r="7" spans="1:9" x14ac:dyDescent="0.25">
      <c r="A7" s="31">
        <v>3</v>
      </c>
      <c r="B7" s="45" t="s">
        <v>918</v>
      </c>
      <c r="C7" s="573">
        <v>923417.8</v>
      </c>
      <c r="D7" s="569">
        <v>878573.5</v>
      </c>
      <c r="E7" s="317"/>
      <c r="F7" s="10"/>
      <c r="I7" s="198"/>
    </row>
    <row r="8" spans="1:9" x14ac:dyDescent="0.25">
      <c r="A8" s="31">
        <v>4</v>
      </c>
      <c r="B8" s="459" t="s">
        <v>978</v>
      </c>
      <c r="C8" s="573">
        <v>281390</v>
      </c>
      <c r="D8" s="569">
        <v>224320</v>
      </c>
      <c r="E8" s="317"/>
      <c r="F8" s="10"/>
      <c r="I8" s="198"/>
    </row>
    <row r="9" spans="1:9" x14ac:dyDescent="0.25">
      <c r="A9" s="31">
        <v>5</v>
      </c>
      <c r="B9" s="459" t="s">
        <v>977</v>
      </c>
      <c r="C9" s="573">
        <v>136987</v>
      </c>
      <c r="D9" s="569">
        <v>106072</v>
      </c>
      <c r="E9" s="317"/>
      <c r="F9" s="10"/>
      <c r="I9" s="198"/>
    </row>
    <row r="10" spans="1:9" x14ac:dyDescent="0.25">
      <c r="A10" s="31">
        <v>6</v>
      </c>
      <c r="B10" s="59" t="s">
        <v>954</v>
      </c>
      <c r="C10" s="559">
        <f>SUM(C11:C16)</f>
        <v>333247.12999999995</v>
      </c>
      <c r="D10" s="570">
        <f>SUM(D11:D16)</f>
        <v>292404.95</v>
      </c>
    </row>
    <row r="11" spans="1:9" x14ac:dyDescent="0.25">
      <c r="A11" s="31">
        <v>7</v>
      </c>
      <c r="B11" s="45" t="s">
        <v>919</v>
      </c>
      <c r="C11" s="573">
        <v>189745.96</v>
      </c>
      <c r="D11" s="569">
        <v>186943</v>
      </c>
    </row>
    <row r="12" spans="1:9" x14ac:dyDescent="0.25">
      <c r="A12" s="31">
        <v>8</v>
      </c>
      <c r="B12" s="45" t="s">
        <v>920</v>
      </c>
      <c r="C12" s="573">
        <v>0</v>
      </c>
      <c r="D12" s="569">
        <v>0</v>
      </c>
    </row>
    <row r="13" spans="1:9" x14ac:dyDescent="0.25">
      <c r="A13" s="31">
        <v>9</v>
      </c>
      <c r="B13" s="45" t="s">
        <v>921</v>
      </c>
      <c r="C13" s="573">
        <v>0</v>
      </c>
      <c r="D13" s="569">
        <v>0</v>
      </c>
    </row>
    <row r="14" spans="1:9" x14ac:dyDescent="0.25">
      <c r="A14" s="31">
        <v>10</v>
      </c>
      <c r="B14" s="45" t="s">
        <v>922</v>
      </c>
      <c r="C14" s="573">
        <v>139097.87</v>
      </c>
      <c r="D14" s="569">
        <v>100392.95</v>
      </c>
    </row>
    <row r="15" spans="1:9" ht="31.5" x14ac:dyDescent="0.25">
      <c r="A15" s="31">
        <v>11</v>
      </c>
      <c r="B15" s="45" t="s">
        <v>923</v>
      </c>
      <c r="C15" s="573">
        <v>1800</v>
      </c>
      <c r="D15" s="569">
        <v>1654</v>
      </c>
    </row>
    <row r="16" spans="1:9" x14ac:dyDescent="0.25">
      <c r="A16" s="31">
        <v>12</v>
      </c>
      <c r="B16" s="45" t="s">
        <v>924</v>
      </c>
      <c r="C16" s="573">
        <v>2603.3000000000002</v>
      </c>
      <c r="D16" s="569">
        <v>3415</v>
      </c>
    </row>
    <row r="17" spans="1:5" x14ac:dyDescent="0.25">
      <c r="A17" s="31">
        <v>13</v>
      </c>
      <c r="B17" s="59" t="s">
        <v>221</v>
      </c>
      <c r="C17" s="559">
        <f>(C6+C7)*0.2</f>
        <v>185333.56000000003</v>
      </c>
      <c r="D17" s="570">
        <f>(D6+D7)*0.2</f>
        <v>183384.7</v>
      </c>
    </row>
    <row r="18" spans="1:5" ht="16.5" thickBot="1" x14ac:dyDescent="0.3">
      <c r="A18" s="31">
        <v>14</v>
      </c>
      <c r="B18" s="60" t="s">
        <v>305</v>
      </c>
      <c r="C18" s="574">
        <v>193447.24</v>
      </c>
      <c r="D18" s="571">
        <v>203869.97</v>
      </c>
    </row>
    <row r="19" spans="1:5" x14ac:dyDescent="0.25">
      <c r="B19" s="9"/>
    </row>
    <row r="20" spans="1:5" x14ac:dyDescent="0.25">
      <c r="A20" s="266"/>
      <c r="B20" s="320"/>
      <c r="C20" s="568"/>
      <c r="D20" s="568"/>
      <c r="E20" s="575"/>
    </row>
    <row r="21" spans="1:5" x14ac:dyDescent="0.25">
      <c r="B21" s="9"/>
      <c r="C21" s="568"/>
      <c r="D21" s="568"/>
      <c r="E21" s="575"/>
    </row>
    <row r="22" spans="1:5" x14ac:dyDescent="0.25">
      <c r="B22" s="9"/>
      <c r="C22" s="568"/>
      <c r="D22" s="568"/>
      <c r="E22" s="575"/>
    </row>
    <row r="23" spans="1:5" x14ac:dyDescent="0.25">
      <c r="B23" s="9"/>
      <c r="C23" s="568"/>
      <c r="D23" s="568"/>
      <c r="E23" s="575"/>
    </row>
    <row r="24" spans="1:5" x14ac:dyDescent="0.25">
      <c r="B24" s="9"/>
      <c r="C24" s="568"/>
      <c r="D24" s="568"/>
      <c r="E24" s="575"/>
    </row>
    <row r="25" spans="1:5" x14ac:dyDescent="0.25">
      <c r="B25" s="9"/>
    </row>
    <row r="26" spans="1:5" x14ac:dyDescent="0.25">
      <c r="B26" s="9"/>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28</vt:i4>
      </vt:variant>
      <vt:variant>
        <vt:lpstr>Pomenované rozsahy</vt:lpstr>
      </vt:variant>
      <vt:variant>
        <vt:i4>25</vt:i4>
      </vt:variant>
    </vt:vector>
  </HeadingPairs>
  <TitlesOfParts>
    <vt:vector size="53"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'T2-Ostatné dot mimo MŠ SR'!Oblasť_tlače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Gogorova</cp:lastModifiedBy>
  <cp:lastPrinted>2020-05-03T15:20:12Z</cp:lastPrinted>
  <dcterms:created xsi:type="dcterms:W3CDTF">2002-06-05T18:53:25Z</dcterms:created>
  <dcterms:modified xsi:type="dcterms:W3CDTF">2020-05-13T07:00:31Z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