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EBFA428C-6ED0-431E-9725-18B418A1E741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úpravy" sheetId="1" r:id="rId1"/>
    <sheet name="súhrnná" sheetId="2" r:id="rId2"/>
  </sheets>
  <definedNames>
    <definedName name="_xlnm._FilterDatabase" localSheetId="0" hidden="1">úpravy!$B$1:$B$247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5" i="1" l="1"/>
  <c r="R204" i="1"/>
  <c r="C204" i="1"/>
  <c r="R202" i="1"/>
  <c r="R201" i="1"/>
  <c r="O90" i="2" l="1"/>
  <c r="J90" i="2"/>
  <c r="I90" i="2"/>
  <c r="H90" i="2"/>
  <c r="F90" i="2"/>
  <c r="E90" i="2"/>
  <c r="D90" i="2"/>
  <c r="C90" i="2"/>
  <c r="B90" i="2"/>
  <c r="O54" i="2"/>
  <c r="J54" i="2"/>
  <c r="H54" i="2"/>
  <c r="H35" i="2" s="1"/>
  <c r="I54" i="2"/>
  <c r="G54" i="2"/>
  <c r="F54" i="2"/>
  <c r="E54" i="2"/>
  <c r="D54" i="2"/>
  <c r="C54" i="2"/>
  <c r="B54" i="2"/>
  <c r="S207" i="1"/>
  <c r="S208" i="1"/>
  <c r="R121" i="2" l="1"/>
  <c r="R55" i="2"/>
  <c r="J55" i="2"/>
  <c r="J35" i="2" s="1"/>
  <c r="I55" i="2"/>
  <c r="G55" i="2"/>
  <c r="F55" i="2"/>
  <c r="E55" i="2"/>
  <c r="C55" i="2"/>
  <c r="B55" i="2"/>
  <c r="R52" i="2" l="1"/>
  <c r="R203" i="1"/>
  <c r="R145" i="2" s="1"/>
  <c r="S201" i="1" l="1"/>
  <c r="S202" i="1"/>
  <c r="S203" i="1"/>
  <c r="S204" i="1"/>
  <c r="S205" i="1"/>
  <c r="S206" i="1"/>
  <c r="S209" i="1"/>
  <c r="N210" i="1"/>
  <c r="L210" i="1"/>
  <c r="I210" i="1"/>
  <c r="B104" i="2" l="1"/>
  <c r="B57" i="2"/>
  <c r="R140" i="2" l="1"/>
  <c r="R104" i="2"/>
  <c r="R198" i="1"/>
  <c r="R57" i="2" s="1"/>
  <c r="O57" i="2"/>
  <c r="M140" i="2"/>
  <c r="I104" i="2"/>
  <c r="I57" i="2"/>
  <c r="G140" i="2"/>
  <c r="G104" i="2"/>
  <c r="G57" i="2"/>
  <c r="F57" i="2"/>
  <c r="E104" i="2"/>
  <c r="E57" i="2"/>
  <c r="D104" i="2"/>
  <c r="D57" i="2"/>
  <c r="C57" i="2"/>
  <c r="S199" i="1"/>
  <c r="S200" i="1"/>
  <c r="K11" i="2" l="1"/>
  <c r="M11" i="2"/>
  <c r="N11" i="2"/>
  <c r="Q11" i="2"/>
  <c r="R11" i="2"/>
  <c r="E12" i="2"/>
  <c r="F12" i="2"/>
  <c r="G12" i="2"/>
  <c r="H12" i="2"/>
  <c r="H11" i="2" s="1"/>
  <c r="I12" i="2"/>
  <c r="J12" i="2"/>
  <c r="J11" i="2" s="1"/>
  <c r="O12" i="2"/>
  <c r="P12" i="2"/>
  <c r="L14" i="2"/>
  <c r="S14" i="2" s="1"/>
  <c r="L15" i="2"/>
  <c r="S15" i="2" s="1"/>
  <c r="L16" i="2"/>
  <c r="S16" i="2" s="1"/>
  <c r="O18" i="2"/>
  <c r="L19" i="2"/>
  <c r="S19" i="2"/>
  <c r="L20" i="2"/>
  <c r="S20" i="2" s="1"/>
  <c r="L21" i="2"/>
  <c r="S21" i="2" s="1"/>
  <c r="L22" i="2"/>
  <c r="S22" i="2" s="1"/>
  <c r="L23" i="2"/>
  <c r="S23" i="2"/>
  <c r="L24" i="2"/>
  <c r="S24" i="2" s="1"/>
  <c r="K25" i="2"/>
  <c r="M25" i="2"/>
  <c r="M10" i="2" s="1"/>
  <c r="N25" i="2"/>
  <c r="Q25" i="2"/>
  <c r="R25" i="2"/>
  <c r="E26" i="2"/>
  <c r="F26" i="2"/>
  <c r="G26" i="2"/>
  <c r="H26" i="2"/>
  <c r="H25" i="2" s="1"/>
  <c r="I26" i="2"/>
  <c r="J26" i="2"/>
  <c r="J25" i="2" s="1"/>
  <c r="O26" i="2"/>
  <c r="P26" i="2"/>
  <c r="L28" i="2"/>
  <c r="S28" i="2" s="1"/>
  <c r="L29" i="2"/>
  <c r="S29" i="2" s="1"/>
  <c r="L30" i="2"/>
  <c r="S30" i="2"/>
  <c r="O32" i="2"/>
  <c r="L33" i="2"/>
  <c r="S33" i="2" s="1"/>
  <c r="H34" i="2"/>
  <c r="K34" i="2"/>
  <c r="M34" i="2"/>
  <c r="N34" i="2"/>
  <c r="J34" i="2"/>
  <c r="P35" i="2"/>
  <c r="L36" i="2"/>
  <c r="S36" i="2" s="1"/>
  <c r="L37" i="2"/>
  <c r="S37" i="2" s="1"/>
  <c r="L38" i="2"/>
  <c r="S38" i="2"/>
  <c r="L39" i="2"/>
  <c r="S39" i="2"/>
  <c r="L40" i="2"/>
  <c r="P40" i="2"/>
  <c r="L41" i="2"/>
  <c r="S41" i="2" s="1"/>
  <c r="L42" i="2"/>
  <c r="S42" i="2" s="1"/>
  <c r="L43" i="2"/>
  <c r="S43" i="2" s="1"/>
  <c r="L44" i="2"/>
  <c r="S44" i="2" s="1"/>
  <c r="L45" i="2"/>
  <c r="S45" i="2" s="1"/>
  <c r="L46" i="2"/>
  <c r="S46" i="2" s="1"/>
  <c r="L47" i="2"/>
  <c r="S47" i="2" s="1"/>
  <c r="L48" i="2"/>
  <c r="S48" i="2" s="1"/>
  <c r="L49" i="2"/>
  <c r="S49" i="2" s="1"/>
  <c r="E50" i="2"/>
  <c r="F50" i="2"/>
  <c r="G50" i="2"/>
  <c r="I50" i="2"/>
  <c r="P50" i="2"/>
  <c r="G51" i="2"/>
  <c r="E52" i="2"/>
  <c r="F52" i="2"/>
  <c r="G52" i="2"/>
  <c r="I52" i="2"/>
  <c r="P52" i="2"/>
  <c r="Q53" i="2"/>
  <c r="Q34" i="2" s="1"/>
  <c r="L54" i="2"/>
  <c r="L55" i="2"/>
  <c r="L56" i="2"/>
  <c r="R56" i="2"/>
  <c r="L58" i="2"/>
  <c r="O58" i="2"/>
  <c r="S58" i="2" s="1"/>
  <c r="L59" i="2"/>
  <c r="S59" i="2" s="1"/>
  <c r="L60" i="2"/>
  <c r="S60" i="2" s="1"/>
  <c r="L61" i="2"/>
  <c r="S61" i="2"/>
  <c r="L62" i="2"/>
  <c r="S62" i="2" s="1"/>
  <c r="L63" i="2"/>
  <c r="S63" i="2" s="1"/>
  <c r="L64" i="2"/>
  <c r="S64" i="2" s="1"/>
  <c r="L65" i="2"/>
  <c r="S65" i="2" s="1"/>
  <c r="L66" i="2"/>
  <c r="S66" i="2" s="1"/>
  <c r="L67" i="2"/>
  <c r="S67" i="2" s="1"/>
  <c r="L68" i="2"/>
  <c r="S68" i="2" s="1"/>
  <c r="L69" i="2"/>
  <c r="S69" i="2" s="1"/>
  <c r="L70" i="2"/>
  <c r="S70" i="2"/>
  <c r="L71" i="2"/>
  <c r="S71" i="2" s="1"/>
  <c r="L72" i="2"/>
  <c r="S72" i="2" s="1"/>
  <c r="L73" i="2"/>
  <c r="S73" i="2" s="1"/>
  <c r="L74" i="2"/>
  <c r="S74" i="2" s="1"/>
  <c r="L75" i="2"/>
  <c r="S75" i="2" s="1"/>
  <c r="L76" i="2"/>
  <c r="S76" i="2" s="1"/>
  <c r="L77" i="2"/>
  <c r="S77" i="2" s="1"/>
  <c r="L78" i="2"/>
  <c r="S78" i="2" s="1"/>
  <c r="L79" i="2"/>
  <c r="S79" i="2" s="1"/>
  <c r="L80" i="2"/>
  <c r="S80" i="2"/>
  <c r="L81" i="2"/>
  <c r="S81" i="2" s="1"/>
  <c r="L82" i="2"/>
  <c r="S82" i="2" s="1"/>
  <c r="L83" i="2"/>
  <c r="S83" i="2" s="1"/>
  <c r="L84" i="2"/>
  <c r="S84" i="2" s="1"/>
  <c r="L85" i="2"/>
  <c r="S85" i="2"/>
  <c r="L86" i="2"/>
  <c r="S86" i="2" s="1"/>
  <c r="L87" i="2"/>
  <c r="S87" i="2" s="1"/>
  <c r="K89" i="2"/>
  <c r="K88" i="2" s="1"/>
  <c r="K8" i="2" s="1"/>
  <c r="M89" i="2"/>
  <c r="M88" i="2" s="1"/>
  <c r="M8" i="2" s="1"/>
  <c r="N89" i="2"/>
  <c r="N88" i="2" s="1"/>
  <c r="N8" i="2" s="1"/>
  <c r="H89" i="2"/>
  <c r="H88" i="2" s="1"/>
  <c r="H8" i="2" s="1"/>
  <c r="J91" i="2"/>
  <c r="L91" i="2" s="1"/>
  <c r="R91" i="2"/>
  <c r="J92" i="2"/>
  <c r="L92" i="2" s="1"/>
  <c r="R92" i="2"/>
  <c r="J93" i="2"/>
  <c r="L93" i="2" s="1"/>
  <c r="R93" i="2"/>
  <c r="L94" i="2"/>
  <c r="S94" i="2" s="1"/>
  <c r="E95" i="2"/>
  <c r="L95" i="2" s="1"/>
  <c r="S95" i="2" s="1"/>
  <c r="L96" i="2"/>
  <c r="P96" i="2"/>
  <c r="L97" i="2"/>
  <c r="P97" i="2"/>
  <c r="L98" i="2"/>
  <c r="S98" i="2" s="1"/>
  <c r="L99" i="2"/>
  <c r="S99" i="2" s="1"/>
  <c r="L100" i="2"/>
  <c r="S100" i="2" s="1"/>
  <c r="L101" i="2"/>
  <c r="S101" i="2" s="1"/>
  <c r="L102" i="2"/>
  <c r="S102" i="2"/>
  <c r="L103" i="2"/>
  <c r="S103" i="2" s="1"/>
  <c r="O104" i="2"/>
  <c r="L106" i="2"/>
  <c r="S106" i="2"/>
  <c r="L107" i="2"/>
  <c r="S107" i="2" s="1"/>
  <c r="L108" i="2"/>
  <c r="S108" i="2"/>
  <c r="L109" i="2"/>
  <c r="P109" i="2"/>
  <c r="L110" i="2"/>
  <c r="S110" i="2" s="1"/>
  <c r="O111" i="2"/>
  <c r="L112" i="2"/>
  <c r="S112" i="2" s="1"/>
  <c r="L113" i="2"/>
  <c r="S113" i="2" s="1"/>
  <c r="L114" i="2"/>
  <c r="S114" i="2" s="1"/>
  <c r="F115" i="2"/>
  <c r="G115" i="2"/>
  <c r="J115" i="2"/>
  <c r="Q115" i="2"/>
  <c r="L116" i="2"/>
  <c r="S116" i="2" s="1"/>
  <c r="L118" i="2"/>
  <c r="S118" i="2" s="1"/>
  <c r="L119" i="2"/>
  <c r="S119" i="2"/>
  <c r="E120" i="2"/>
  <c r="O120" i="2"/>
  <c r="G121" i="2"/>
  <c r="E122" i="2"/>
  <c r="F122" i="2"/>
  <c r="G122" i="2"/>
  <c r="I122" i="2"/>
  <c r="J122" i="2"/>
  <c r="E123" i="2"/>
  <c r="F123" i="2"/>
  <c r="G123" i="2"/>
  <c r="I123" i="2"/>
  <c r="J123" i="2"/>
  <c r="O124" i="2"/>
  <c r="L125" i="2"/>
  <c r="S125" i="2" s="1"/>
  <c r="E127" i="2"/>
  <c r="F127" i="2"/>
  <c r="F126" i="2" s="1"/>
  <c r="G127" i="2"/>
  <c r="I127" i="2"/>
  <c r="J127" i="2"/>
  <c r="L128" i="2"/>
  <c r="S128" i="2" s="1"/>
  <c r="G129" i="2"/>
  <c r="I129" i="2"/>
  <c r="L130" i="2"/>
  <c r="O130" i="2"/>
  <c r="P130" i="2"/>
  <c r="E131" i="2"/>
  <c r="F131" i="2"/>
  <c r="H131" i="2"/>
  <c r="H126" i="2" s="1"/>
  <c r="I131" i="2"/>
  <c r="J131" i="2"/>
  <c r="K131" i="2"/>
  <c r="K126" i="2" s="1"/>
  <c r="Q131" i="2"/>
  <c r="Q126" i="2" s="1"/>
  <c r="N132" i="2"/>
  <c r="O132" i="2"/>
  <c r="Q132" i="2"/>
  <c r="L133" i="2"/>
  <c r="S133" i="2"/>
  <c r="L134" i="2"/>
  <c r="R134" i="2"/>
  <c r="L135" i="2"/>
  <c r="S135" i="2"/>
  <c r="L136" i="2"/>
  <c r="S136" i="2" s="1"/>
  <c r="L137" i="2"/>
  <c r="S137" i="2" s="1"/>
  <c r="L138" i="2"/>
  <c r="R138" i="2"/>
  <c r="L139" i="2"/>
  <c r="S139" i="2"/>
  <c r="L140" i="2"/>
  <c r="G141" i="2"/>
  <c r="L141" i="2" s="1"/>
  <c r="M141" i="2"/>
  <c r="P142" i="2"/>
  <c r="R142" i="2"/>
  <c r="L143" i="2"/>
  <c r="N143" i="2"/>
  <c r="P143" i="2"/>
  <c r="G144" i="2"/>
  <c r="O144" i="2"/>
  <c r="P144" i="2"/>
  <c r="L146" i="2"/>
  <c r="S146" i="2" s="1"/>
  <c r="L147" i="2"/>
  <c r="S147" i="2" s="1"/>
  <c r="L148" i="2"/>
  <c r="S148" i="2" s="1"/>
  <c r="F149" i="2"/>
  <c r="J149" i="2"/>
  <c r="L152" i="2"/>
  <c r="S152" i="2" s="1"/>
  <c r="G154" i="2"/>
  <c r="I154" i="2"/>
  <c r="E155" i="2"/>
  <c r="F155" i="2"/>
  <c r="G155" i="2"/>
  <c r="H155" i="2"/>
  <c r="I155" i="2"/>
  <c r="J155" i="2"/>
  <c r="L156" i="2"/>
  <c r="S156" i="2" s="1"/>
  <c r="F157" i="2"/>
  <c r="H157" i="2"/>
  <c r="J157" i="2"/>
  <c r="K157" i="2"/>
  <c r="M157" i="2"/>
  <c r="N157" i="2"/>
  <c r="P157" i="2"/>
  <c r="Q157" i="2"/>
  <c r="R157" i="2"/>
  <c r="F158" i="2"/>
  <c r="H158" i="2"/>
  <c r="J158" i="2"/>
  <c r="K158" i="2"/>
  <c r="M158" i="2"/>
  <c r="N158" i="2"/>
  <c r="P158" i="2"/>
  <c r="Q158" i="2"/>
  <c r="R158" i="2"/>
  <c r="L159" i="2"/>
  <c r="S159" i="2" s="1"/>
  <c r="I160" i="2"/>
  <c r="I158" i="2" s="1"/>
  <c r="L161" i="2"/>
  <c r="O161" i="2"/>
  <c r="O157" i="2" s="1"/>
  <c r="E162" i="2"/>
  <c r="G163" i="2"/>
  <c r="G158" i="2" s="1"/>
  <c r="L165" i="2"/>
  <c r="S165" i="2"/>
  <c r="L166" i="2"/>
  <c r="S166" i="2" s="1"/>
  <c r="L167" i="2"/>
  <c r="S167" i="2" s="1"/>
  <c r="L168" i="2"/>
  <c r="S168" i="2" s="1"/>
  <c r="L169" i="2"/>
  <c r="S169" i="2" s="1"/>
  <c r="L170" i="2"/>
  <c r="S170" i="2" s="1"/>
  <c r="S171" i="2"/>
  <c r="L172" i="2"/>
  <c r="S172" i="2" s="1"/>
  <c r="J126" i="2" l="1"/>
  <c r="E126" i="2"/>
  <c r="S109" i="2"/>
  <c r="S96" i="2"/>
  <c r="S56" i="2"/>
  <c r="K10" i="2"/>
  <c r="K7" i="2" s="1"/>
  <c r="K5" i="2" s="1"/>
  <c r="I35" i="2"/>
  <c r="I34" i="2" s="1"/>
  <c r="G35" i="2"/>
  <c r="G34" i="2" s="1"/>
  <c r="O35" i="2"/>
  <c r="R132" i="2"/>
  <c r="R131" i="2" s="1"/>
  <c r="R126" i="2" s="1"/>
  <c r="S91" i="2"/>
  <c r="L163" i="2"/>
  <c r="S163" i="2" s="1"/>
  <c r="O34" i="2"/>
  <c r="S130" i="2"/>
  <c r="S93" i="2"/>
  <c r="S141" i="2"/>
  <c r="L129" i="2"/>
  <c r="S129" i="2" s="1"/>
  <c r="S143" i="2"/>
  <c r="S140" i="2"/>
  <c r="J10" i="2"/>
  <c r="S161" i="2"/>
  <c r="G157" i="2"/>
  <c r="N131" i="2"/>
  <c r="N126" i="2" s="1"/>
  <c r="I126" i="2"/>
  <c r="S92" i="2"/>
  <c r="O89" i="2"/>
  <c r="O88" i="2" s="1"/>
  <c r="O8" i="2" s="1"/>
  <c r="S134" i="2"/>
  <c r="S55" i="2"/>
  <c r="S97" i="2"/>
  <c r="Q10" i="2"/>
  <c r="L160" i="2"/>
  <c r="S160" i="2" s="1"/>
  <c r="I157" i="2"/>
  <c r="O158" i="2"/>
  <c r="S138" i="2"/>
  <c r="S40" i="2"/>
  <c r="H10" i="2"/>
  <c r="E158" i="2"/>
  <c r="L162" i="2"/>
  <c r="S162" i="2" s="1"/>
  <c r="E157" i="2"/>
  <c r="N10" i="2"/>
  <c r="K9" i="2" l="1"/>
  <c r="N9" i="2"/>
  <c r="N7" i="2" s="1"/>
  <c r="N5" i="2" s="1"/>
  <c r="H9" i="2"/>
  <c r="H7" i="2"/>
  <c r="H5" i="2" s="1"/>
  <c r="P92" i="1"/>
  <c r="D92" i="1"/>
  <c r="P91" i="1"/>
  <c r="P111" i="2" s="1"/>
  <c r="D91" i="1"/>
  <c r="C115" i="2" l="1"/>
  <c r="B115" i="2"/>
  <c r="J189" i="1"/>
  <c r="I115" i="2" s="1"/>
  <c r="F189" i="1"/>
  <c r="E115" i="2" s="1"/>
  <c r="E189" i="1"/>
  <c r="D115" i="2" s="1"/>
  <c r="L115" i="2" l="1"/>
  <c r="S115" i="2" s="1"/>
  <c r="Q174" i="1" l="1"/>
  <c r="Q120" i="2" s="1"/>
  <c r="E7" i="1" l="1"/>
  <c r="C104" i="2" l="1"/>
  <c r="L57" i="2"/>
  <c r="S57" i="2" s="1"/>
  <c r="L104" i="2" l="1"/>
  <c r="S104" i="2" s="1"/>
  <c r="G164" i="1"/>
  <c r="F51" i="2" s="1"/>
  <c r="F164" i="1"/>
  <c r="E51" i="2" s="1"/>
  <c r="P164" i="1"/>
  <c r="P51" i="2" s="1"/>
  <c r="P34" i="2" s="1"/>
  <c r="E35" i="2" l="1"/>
  <c r="E34" i="2" s="1"/>
  <c r="F35" i="2"/>
  <c r="F34" i="2" s="1"/>
  <c r="R32" i="1"/>
  <c r="R31" i="1"/>
  <c r="R54" i="2" l="1"/>
  <c r="R34" i="2" s="1"/>
  <c r="R210" i="1"/>
  <c r="R211" i="1" s="1"/>
  <c r="R5" i="1" s="1"/>
  <c r="R90" i="2"/>
  <c r="R89" i="2" s="1"/>
  <c r="R88" i="2" s="1"/>
  <c r="R8" i="2" s="1"/>
  <c r="C53" i="2"/>
  <c r="L53" i="2" s="1"/>
  <c r="S53" i="2" s="1"/>
  <c r="D120" i="2"/>
  <c r="C174" i="1"/>
  <c r="B120" i="2" s="1"/>
  <c r="L120" i="2" l="1"/>
  <c r="S120" i="2" s="1"/>
  <c r="S54" i="2"/>
  <c r="R10" i="2"/>
  <c r="R9" i="2" s="1"/>
  <c r="R7" i="2" s="1"/>
  <c r="R5" i="2" s="1"/>
  <c r="O110" i="1"/>
  <c r="O109" i="1"/>
  <c r="H110" i="1"/>
  <c r="H109" i="1"/>
  <c r="D124" i="2" l="1"/>
  <c r="L124" i="2" s="1"/>
  <c r="S124" i="2" s="1"/>
  <c r="H165" i="1" l="1"/>
  <c r="G90" i="2" s="1"/>
  <c r="D50" i="2" l="1"/>
  <c r="B50" i="2"/>
  <c r="L50" i="2" l="1"/>
  <c r="S50" i="2" s="1"/>
  <c r="P94" i="1"/>
  <c r="P27" i="2" s="1"/>
  <c r="P25" i="2" s="1"/>
  <c r="P93" i="1"/>
  <c r="P13" i="2" s="1"/>
  <c r="P11" i="2" s="1"/>
  <c r="P10" i="2" s="1"/>
  <c r="J94" i="1"/>
  <c r="I27" i="2" s="1"/>
  <c r="I25" i="2" s="1"/>
  <c r="J93" i="1"/>
  <c r="I13" i="2" s="1"/>
  <c r="I11" i="2" s="1"/>
  <c r="H94" i="1"/>
  <c r="G27" i="2" s="1"/>
  <c r="H93" i="1"/>
  <c r="G13" i="2" s="1"/>
  <c r="G94" i="1"/>
  <c r="F27" i="2" s="1"/>
  <c r="F25" i="2" s="1"/>
  <c r="G93" i="1"/>
  <c r="F13" i="2" s="1"/>
  <c r="F11" i="2" s="1"/>
  <c r="F94" i="1"/>
  <c r="E27" i="2" s="1"/>
  <c r="E25" i="2" s="1"/>
  <c r="F93" i="1"/>
  <c r="E13" i="2" s="1"/>
  <c r="E11" i="2" s="1"/>
  <c r="E10" i="2" s="1"/>
  <c r="E94" i="1"/>
  <c r="E93" i="1"/>
  <c r="D94" i="1"/>
  <c r="D93" i="1"/>
  <c r="C94" i="1"/>
  <c r="C93" i="1"/>
  <c r="F10" i="2" l="1"/>
  <c r="I10" i="2"/>
  <c r="P25" i="1"/>
  <c r="P145" i="2" s="1"/>
  <c r="P132" i="2" s="1"/>
  <c r="P131" i="2" s="1"/>
  <c r="P126" i="2" s="1"/>
  <c r="H25" i="1"/>
  <c r="G145" i="2" s="1"/>
  <c r="L145" i="2" l="1"/>
  <c r="G132" i="2"/>
  <c r="D51" i="2"/>
  <c r="L51" i="2" s="1"/>
  <c r="S51" i="2" s="1"/>
  <c r="G131" i="2" l="1"/>
  <c r="G126" i="2" s="1"/>
  <c r="L132" i="2"/>
  <c r="F7" i="1"/>
  <c r="E153" i="2" l="1"/>
  <c r="M7" i="1"/>
  <c r="J7" i="1"/>
  <c r="H7" i="1"/>
  <c r="G7" i="1"/>
  <c r="D7" i="1"/>
  <c r="C7" i="1"/>
  <c r="I153" i="2" l="1"/>
  <c r="J153" i="2"/>
  <c r="F153" i="2"/>
  <c r="G153" i="2"/>
  <c r="D127" i="2"/>
  <c r="C127" i="2"/>
  <c r="B127" i="2"/>
  <c r="L127" i="2" l="1"/>
  <c r="S127" i="2" s="1"/>
  <c r="J92" i="1"/>
  <c r="J91" i="1"/>
  <c r="I111" i="2" s="1"/>
  <c r="D105" i="2" l="1"/>
  <c r="L105" i="2" l="1"/>
  <c r="S105" i="2" s="1"/>
  <c r="D16" i="1"/>
  <c r="C142" i="2" s="1"/>
  <c r="L142" i="2" s="1"/>
  <c r="O16" i="1"/>
  <c r="O142" i="2" l="1"/>
  <c r="O131" i="2" s="1"/>
  <c r="O126" i="2" s="1"/>
  <c r="K25" i="1"/>
  <c r="J24" i="1"/>
  <c r="I121" i="2" s="1"/>
  <c r="G24" i="1"/>
  <c r="F24" i="1"/>
  <c r="E121" i="2" s="1"/>
  <c r="E24" i="1"/>
  <c r="D121" i="2" s="1"/>
  <c r="D24" i="1"/>
  <c r="C24" i="1"/>
  <c r="B121" i="2" s="1"/>
  <c r="P24" i="1"/>
  <c r="S142" i="2" l="1"/>
  <c r="M145" i="2"/>
  <c r="K210" i="1"/>
  <c r="P121" i="2"/>
  <c r="P89" i="2" s="1"/>
  <c r="P88" i="2" s="1"/>
  <c r="P8" i="2" s="1"/>
  <c r="P210" i="1"/>
  <c r="F121" i="2"/>
  <c r="F89" i="2" s="1"/>
  <c r="F88" i="2" s="1"/>
  <c r="F7" i="2" s="1"/>
  <c r="F5" i="2" s="1"/>
  <c r="G210" i="1"/>
  <c r="F8" i="2"/>
  <c r="P9" i="2"/>
  <c r="P7" i="2" s="1"/>
  <c r="P5" i="2" s="1"/>
  <c r="M132" i="2"/>
  <c r="S145" i="2"/>
  <c r="H92" i="1"/>
  <c r="H91" i="1"/>
  <c r="G111" i="2" s="1"/>
  <c r="F9" i="2" l="1"/>
  <c r="M131" i="2"/>
  <c r="M126" i="2" s="1"/>
  <c r="M9" i="2" s="1"/>
  <c r="M7" i="2" s="1"/>
  <c r="M5" i="2" s="1"/>
  <c r="S132" i="2"/>
  <c r="E11" i="1"/>
  <c r="N244" i="1" l="1"/>
  <c r="C121" i="2" l="1"/>
  <c r="D52" i="2"/>
  <c r="D35" i="2" s="1"/>
  <c r="C52" i="2"/>
  <c r="C35" i="2" s="1"/>
  <c r="B52" i="2"/>
  <c r="B35" i="2" s="1"/>
  <c r="L52" i="2" l="1"/>
  <c r="S52" i="2" s="1"/>
  <c r="L121" i="2"/>
  <c r="S121" i="2" s="1"/>
  <c r="D34" i="2"/>
  <c r="D150" i="2"/>
  <c r="D151" i="2"/>
  <c r="L151" i="2" s="1"/>
  <c r="S151" i="2" s="1"/>
  <c r="B34" i="2" l="1"/>
  <c r="L35" i="2"/>
  <c r="S35" i="2" s="1"/>
  <c r="Q116" i="1" l="1"/>
  <c r="F116" i="1"/>
  <c r="E117" i="2" s="1"/>
  <c r="Q117" i="2" l="1"/>
  <c r="Q89" i="2" s="1"/>
  <c r="Q88" i="2" s="1"/>
  <c r="Q8" i="2" s="1"/>
  <c r="Q210" i="1"/>
  <c r="Q9" i="2"/>
  <c r="Q7" i="2" s="1"/>
  <c r="Q5" i="2" s="1"/>
  <c r="C12" i="2"/>
  <c r="C26" i="2"/>
  <c r="L90" i="2"/>
  <c r="S90" i="2" s="1"/>
  <c r="C134" i="1" l="1"/>
  <c r="B26" i="2" s="1"/>
  <c r="D26" i="2" l="1"/>
  <c r="L26" i="2" s="1"/>
  <c r="S26" i="2" s="1"/>
  <c r="D12" i="2"/>
  <c r="C133" i="1"/>
  <c r="B12" i="2" s="1"/>
  <c r="L12" i="2" l="1"/>
  <c r="S12" i="2" s="1"/>
  <c r="M116" i="1"/>
  <c r="J117" i="2" l="1"/>
  <c r="J89" i="2" s="1"/>
  <c r="J88" i="2" s="1"/>
  <c r="J8" i="2" s="1"/>
  <c r="M210" i="1"/>
  <c r="F10" i="1"/>
  <c r="J9" i="2" l="1"/>
  <c r="J7" i="2"/>
  <c r="J5" i="2" s="1"/>
  <c r="E149" i="2"/>
  <c r="E10" i="1"/>
  <c r="C10" i="1"/>
  <c r="F92" i="1" l="1"/>
  <c r="F91" i="1"/>
  <c r="E92" i="1"/>
  <c r="E91" i="1"/>
  <c r="E111" i="2" l="1"/>
  <c r="F210" i="1"/>
  <c r="E89" i="2"/>
  <c r="E88" i="2" s="1"/>
  <c r="C116" i="1"/>
  <c r="D116" i="1"/>
  <c r="C117" i="2" s="1"/>
  <c r="H116" i="1"/>
  <c r="G117" i="2" s="1"/>
  <c r="G89" i="2" s="1"/>
  <c r="G88" i="2" s="1"/>
  <c r="G8" i="2" s="1"/>
  <c r="J116" i="1"/>
  <c r="I117" i="2" s="1"/>
  <c r="I89" i="2" s="1"/>
  <c r="I88" i="2" s="1"/>
  <c r="B117" i="2" l="1"/>
  <c r="C210" i="1"/>
  <c r="E7" i="2"/>
  <c r="E5" i="2" s="1"/>
  <c r="E9" i="2"/>
  <c r="E8" i="2"/>
  <c r="I8" i="2"/>
  <c r="I9" i="2"/>
  <c r="B89" i="2"/>
  <c r="L117" i="2"/>
  <c r="S117" i="2" s="1"/>
  <c r="D10" i="1"/>
  <c r="D210" i="1" s="1"/>
  <c r="H10" i="1"/>
  <c r="G149" i="2" l="1"/>
  <c r="O104" i="1"/>
  <c r="O31" i="2" s="1"/>
  <c r="O103" i="1"/>
  <c r="O17" i="2" s="1"/>
  <c r="H104" i="1"/>
  <c r="G31" i="2" s="1"/>
  <c r="H103" i="1"/>
  <c r="G17" i="2" s="1"/>
  <c r="H210" i="1" l="1"/>
  <c r="L17" i="2"/>
  <c r="S17" i="2" s="1"/>
  <c r="G11" i="2"/>
  <c r="L31" i="2"/>
  <c r="S31" i="2" s="1"/>
  <c r="G25" i="2"/>
  <c r="D27" i="2"/>
  <c r="D25" i="2" s="1"/>
  <c r="G10" i="2" l="1"/>
  <c r="G9" i="2" s="1"/>
  <c r="E8" i="1"/>
  <c r="E210" i="1" s="1"/>
  <c r="G7" i="2" l="1"/>
  <c r="G5" i="2" s="1"/>
  <c r="E211" i="1"/>
  <c r="E5" i="1" s="1"/>
  <c r="E212" i="1"/>
  <c r="C150" i="2"/>
  <c r="L150" i="2" s="1"/>
  <c r="S150" i="2" s="1"/>
  <c r="D211" i="1"/>
  <c r="D5" i="1" s="1"/>
  <c r="J10" i="1"/>
  <c r="I149" i="2" l="1"/>
  <c r="I7" i="2" s="1"/>
  <c r="I5" i="2" s="1"/>
  <c r="J210" i="1"/>
  <c r="D212" i="1"/>
  <c r="C34" i="2" l="1"/>
  <c r="L34" i="2" s="1"/>
  <c r="S34" i="2" s="1"/>
  <c r="S242" i="1" l="1"/>
  <c r="D13" i="2"/>
  <c r="D11" i="2" s="1"/>
  <c r="C27" i="2"/>
  <c r="C25" i="2" s="1"/>
  <c r="C13" i="2"/>
  <c r="C11" i="2" s="1"/>
  <c r="O94" i="1"/>
  <c r="O27" i="2" s="1"/>
  <c r="O25" i="2" s="1"/>
  <c r="O93" i="1"/>
  <c r="H211" i="1"/>
  <c r="H213" i="1" s="1"/>
  <c r="C122" i="2"/>
  <c r="D122" i="2"/>
  <c r="C123" i="2"/>
  <c r="D123" i="2"/>
  <c r="B123" i="2"/>
  <c r="B122" i="2"/>
  <c r="O13" i="2" l="1"/>
  <c r="O11" i="2" s="1"/>
  <c r="O10" i="2" s="1"/>
  <c r="O9" i="2" s="1"/>
  <c r="O7" i="2" s="1"/>
  <c r="O5" i="2" s="1"/>
  <c r="O210" i="1"/>
  <c r="S210" i="1" s="1"/>
  <c r="L123" i="2"/>
  <c r="S123" i="2" s="1"/>
  <c r="L122" i="2"/>
  <c r="S122" i="2" s="1"/>
  <c r="B88" i="2"/>
  <c r="C10" i="2"/>
  <c r="H212" i="1"/>
  <c r="H214" i="1"/>
  <c r="D144" i="2"/>
  <c r="D131" i="2" s="1"/>
  <c r="C144" i="2"/>
  <c r="C131" i="2" l="1"/>
  <c r="L131" i="2" s="1"/>
  <c r="S131" i="2" s="1"/>
  <c r="L144" i="2"/>
  <c r="S144" i="2" s="1"/>
  <c r="H215" i="1"/>
  <c r="S4" i="1" l="1"/>
  <c r="B32" i="2" l="1"/>
  <c r="L32" i="2" s="1"/>
  <c r="S32" i="2" s="1"/>
  <c r="C149" i="2" l="1"/>
  <c r="B149" i="2"/>
  <c r="E221" i="1" l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D221" i="1"/>
  <c r="C211" i="1" l="1"/>
  <c r="C5" i="1" s="1"/>
  <c r="C212" i="1" l="1"/>
  <c r="C214" i="1"/>
  <c r="C164" i="2"/>
  <c r="L164" i="2" s="1"/>
  <c r="S164" i="2" s="1"/>
  <c r="C213" i="1" l="1"/>
  <c r="D149" i="2" l="1"/>
  <c r="L149" i="2" s="1"/>
  <c r="S149" i="2" s="1"/>
  <c r="S88" i="1" l="1"/>
  <c r="C155" i="2" l="1"/>
  <c r="D155" i="2"/>
  <c r="B155" i="2"/>
  <c r="S9" i="1"/>
  <c r="C221" i="1"/>
  <c r="L155" i="2" l="1"/>
  <c r="S155" i="2" s="1"/>
  <c r="S11" i="1"/>
  <c r="S103" i="1" l="1"/>
  <c r="S104" i="1"/>
  <c r="C111" i="2" l="1"/>
  <c r="C89" i="2" s="1"/>
  <c r="B18" i="2" l="1"/>
  <c r="L18" i="2" s="1"/>
  <c r="S18" i="2" s="1"/>
  <c r="B13" i="2" l="1"/>
  <c r="B27" i="2"/>
  <c r="L27" i="2" s="1"/>
  <c r="S27" i="2" s="1"/>
  <c r="B11" i="2" l="1"/>
  <c r="L11" i="2" s="1"/>
  <c r="S11" i="2" s="1"/>
  <c r="L13" i="2"/>
  <c r="S13" i="2" s="1"/>
  <c r="B25" i="2"/>
  <c r="B10" i="2" l="1"/>
  <c r="L25" i="2"/>
  <c r="S25" i="2" s="1"/>
  <c r="C154" i="2"/>
  <c r="D111" i="2" l="1"/>
  <c r="D89" i="2" s="1"/>
  <c r="L89" i="2" l="1"/>
  <c r="S89" i="2" s="1"/>
  <c r="L111" i="2"/>
  <c r="S111" i="2" s="1"/>
  <c r="D154" i="2"/>
  <c r="L154" i="2" s="1"/>
  <c r="S154" i="2" s="1"/>
  <c r="D153" i="2"/>
  <c r="C153" i="2"/>
  <c r="B153" i="2"/>
  <c r="L153" i="2" l="1"/>
  <c r="S153" i="2" s="1"/>
  <c r="D88" i="2"/>
  <c r="C157" i="2"/>
  <c r="D158" i="2"/>
  <c r="C158" i="2"/>
  <c r="B158" i="2"/>
  <c r="D157" i="2"/>
  <c r="B157" i="2"/>
  <c r="D126" i="2"/>
  <c r="B126" i="2"/>
  <c r="B7" i="2" s="1"/>
  <c r="C88" i="2"/>
  <c r="R233" i="1"/>
  <c r="R234" i="1" s="1"/>
  <c r="Q233" i="1"/>
  <c r="Q234" i="1" s="1"/>
  <c r="P233" i="1"/>
  <c r="P234" i="1" s="1"/>
  <c r="O233" i="1"/>
  <c r="O234" i="1" s="1"/>
  <c r="N233" i="1"/>
  <c r="N234" i="1" s="1"/>
  <c r="M233" i="1"/>
  <c r="M234" i="1" s="1"/>
  <c r="L233" i="1"/>
  <c r="L234" i="1" s="1"/>
  <c r="K233" i="1"/>
  <c r="K234" i="1" s="1"/>
  <c r="J233" i="1"/>
  <c r="J234" i="1" s="1"/>
  <c r="I233" i="1"/>
  <c r="I234" i="1" s="1"/>
  <c r="H233" i="1"/>
  <c r="H234" i="1" s="1"/>
  <c r="G233" i="1"/>
  <c r="G234" i="1" s="1"/>
  <c r="F233" i="1"/>
  <c r="F234" i="1" s="1"/>
  <c r="E233" i="1"/>
  <c r="E234" i="1" s="1"/>
  <c r="D233" i="1"/>
  <c r="D234" i="1" s="1"/>
  <c r="C233" i="1"/>
  <c r="C234" i="1" s="1"/>
  <c r="S232" i="1"/>
  <c r="S231" i="1"/>
  <c r="S230" i="1"/>
  <c r="S229" i="1"/>
  <c r="S228" i="1"/>
  <c r="S227" i="1"/>
  <c r="S226" i="1"/>
  <c r="S225" i="1"/>
  <c r="S224" i="1"/>
  <c r="S223" i="1"/>
  <c r="S220" i="1"/>
  <c r="O211" i="1"/>
  <c r="O5" i="1" s="1"/>
  <c r="N211" i="1"/>
  <c r="L214" i="1"/>
  <c r="K212" i="1"/>
  <c r="I211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8" i="1"/>
  <c r="F211" i="1"/>
  <c r="S7" i="1"/>
  <c r="L158" i="2" l="1"/>
  <c r="S158" i="2" s="1"/>
  <c r="L157" i="2"/>
  <c r="S157" i="2" s="1"/>
  <c r="L88" i="2"/>
  <c r="S88" i="2" s="1"/>
  <c r="P211" i="1"/>
  <c r="P5" i="1" s="1"/>
  <c r="P212" i="1"/>
  <c r="G212" i="1"/>
  <c r="G211" i="1"/>
  <c r="G5" i="1" s="1"/>
  <c r="C8" i="2"/>
  <c r="D8" i="2"/>
  <c r="S221" i="1"/>
  <c r="I241" i="1"/>
  <c r="C126" i="2"/>
  <c r="C7" i="2" s="1"/>
  <c r="C5" i="2" s="1"/>
  <c r="R235" i="1"/>
  <c r="G235" i="1"/>
  <c r="H236" i="1"/>
  <c r="C236" i="1"/>
  <c r="I236" i="1"/>
  <c r="O236" i="1"/>
  <c r="D236" i="1"/>
  <c r="J236" i="1"/>
  <c r="P236" i="1"/>
  <c r="E235" i="1"/>
  <c r="K235" i="1"/>
  <c r="K237" i="1" s="1"/>
  <c r="K236" i="1"/>
  <c r="S239" i="1" s="1"/>
  <c r="Q235" i="1"/>
  <c r="M235" i="1"/>
  <c r="F236" i="1"/>
  <c r="L236" i="1"/>
  <c r="R236" i="1"/>
  <c r="E236" i="1"/>
  <c r="S56" i="1"/>
  <c r="S211" i="1" s="1"/>
  <c r="S213" i="1" s="1"/>
  <c r="M236" i="1"/>
  <c r="N235" i="1"/>
  <c r="N212" i="1"/>
  <c r="H216" i="1"/>
  <c r="Q236" i="1"/>
  <c r="F235" i="1"/>
  <c r="H235" i="1"/>
  <c r="G236" i="1"/>
  <c r="L235" i="1"/>
  <c r="K211" i="1"/>
  <c r="L212" i="1"/>
  <c r="N214" i="1"/>
  <c r="D10" i="2"/>
  <c r="L10" i="2" s="1"/>
  <c r="S10" i="2" s="1"/>
  <c r="J241" i="1"/>
  <c r="J211" i="1"/>
  <c r="J5" i="1" s="1"/>
  <c r="J214" i="1"/>
  <c r="F214" i="1"/>
  <c r="F212" i="1"/>
  <c r="F5" i="1"/>
  <c r="N5" i="1"/>
  <c r="N213" i="1"/>
  <c r="G214" i="1"/>
  <c r="Q212" i="1"/>
  <c r="Q211" i="1"/>
  <c r="Q214" i="1"/>
  <c r="M214" i="1"/>
  <c r="M211" i="1"/>
  <c r="M212" i="1"/>
  <c r="R214" i="1"/>
  <c r="R212" i="1"/>
  <c r="I5" i="1"/>
  <c r="I213" i="1"/>
  <c r="L211" i="1"/>
  <c r="I214" i="1"/>
  <c r="O214" i="1"/>
  <c r="O213" i="1"/>
  <c r="D214" i="1"/>
  <c r="P214" i="1"/>
  <c r="I212" i="1"/>
  <c r="O212" i="1"/>
  <c r="K214" i="1"/>
  <c r="K215" i="1" s="1"/>
  <c r="S233" i="1"/>
  <c r="S234" i="1" s="1"/>
  <c r="C235" i="1"/>
  <c r="I235" i="1"/>
  <c r="O235" i="1"/>
  <c r="J212" i="1"/>
  <c r="D235" i="1"/>
  <c r="D237" i="1" s="1"/>
  <c r="J235" i="1"/>
  <c r="P235" i="1"/>
  <c r="G215" i="1" l="1"/>
  <c r="G237" i="1"/>
  <c r="L126" i="2"/>
  <c r="S126" i="2" s="1"/>
  <c r="P213" i="1"/>
  <c r="L216" i="1"/>
  <c r="D7" i="2"/>
  <c r="E216" i="1" s="1"/>
  <c r="F216" i="1"/>
  <c r="D213" i="1"/>
  <c r="C241" i="1"/>
  <c r="C243" i="1"/>
  <c r="H5" i="1"/>
  <c r="I216" i="1"/>
  <c r="B5" i="2"/>
  <c r="C238" i="1" s="1"/>
  <c r="C216" i="1"/>
  <c r="N216" i="1"/>
  <c r="M216" i="1"/>
  <c r="J216" i="1"/>
  <c r="N237" i="1"/>
  <c r="L243" i="1"/>
  <c r="L241" i="1"/>
  <c r="M241" i="1"/>
  <c r="N215" i="1"/>
  <c r="F237" i="1"/>
  <c r="L237" i="1"/>
  <c r="D215" i="1"/>
  <c r="L215" i="1"/>
  <c r="K216" i="1"/>
  <c r="O215" i="1"/>
  <c r="K213" i="1"/>
  <c r="K5" i="1"/>
  <c r="I215" i="1"/>
  <c r="C215" i="1"/>
  <c r="Q237" i="1"/>
  <c r="F215" i="1"/>
  <c r="B8" i="2"/>
  <c r="L8" i="2" s="1"/>
  <c r="S8" i="2" s="1"/>
  <c r="D9" i="2"/>
  <c r="M213" i="1"/>
  <c r="M5" i="1"/>
  <c r="G213" i="1"/>
  <c r="M237" i="1"/>
  <c r="J213" i="1"/>
  <c r="I237" i="1"/>
  <c r="R213" i="1"/>
  <c r="M215" i="1"/>
  <c r="P237" i="1"/>
  <c r="L213" i="1"/>
  <c r="L5" i="1"/>
  <c r="F213" i="1"/>
  <c r="P215" i="1"/>
  <c r="O237" i="1"/>
  <c r="C237" i="1"/>
  <c r="S235" i="1"/>
  <c r="J237" i="1"/>
  <c r="R237" i="1"/>
  <c r="E214" i="1"/>
  <c r="R215" i="1"/>
  <c r="Q215" i="1"/>
  <c r="H237" i="1"/>
  <c r="Q5" i="1"/>
  <c r="Q213" i="1"/>
  <c r="J215" i="1"/>
  <c r="L7" i="2" l="1"/>
  <c r="S5" i="1"/>
  <c r="L244" i="1"/>
  <c r="E241" i="1"/>
  <c r="S214" i="1"/>
  <c r="S212" i="1"/>
  <c r="O238" i="1"/>
  <c r="E243" i="1"/>
  <c r="H243" i="1"/>
  <c r="H241" i="1"/>
  <c r="G216" i="1"/>
  <c r="G241" i="1"/>
  <c r="G243" i="1"/>
  <c r="F243" i="1"/>
  <c r="F241" i="1"/>
  <c r="D216" i="1"/>
  <c r="D243" i="1"/>
  <c r="D241" i="1"/>
  <c r="M243" i="1"/>
  <c r="M244" i="1" s="1"/>
  <c r="M238" i="1"/>
  <c r="Q238" i="1"/>
  <c r="Q243" i="1"/>
  <c r="Q241" i="1"/>
  <c r="I238" i="1"/>
  <c r="I243" i="1"/>
  <c r="I244" i="1" s="1"/>
  <c r="C9" i="2"/>
  <c r="Q216" i="1"/>
  <c r="R216" i="1"/>
  <c r="K241" i="1"/>
  <c r="H238" i="1"/>
  <c r="G238" i="1"/>
  <c r="D5" i="2"/>
  <c r="E238" i="1" s="1"/>
  <c r="B9" i="2"/>
  <c r="E215" i="1"/>
  <c r="E213" i="1"/>
  <c r="E237" i="1"/>
  <c r="L9" i="2" l="1"/>
  <c r="S9" i="2" s="1"/>
  <c r="S7" i="2"/>
  <c r="S216" i="1" s="1"/>
  <c r="L5" i="2"/>
  <c r="Q244" i="1"/>
  <c r="S246" i="1"/>
  <c r="O241" i="1"/>
  <c r="O216" i="1"/>
  <c r="O243" i="1"/>
  <c r="S237" i="1"/>
  <c r="F238" i="1"/>
  <c r="D238" i="1"/>
  <c r="J238" i="1"/>
  <c r="J243" i="1"/>
  <c r="J244" i="1" s="1"/>
  <c r="K238" i="1"/>
  <c r="K243" i="1"/>
  <c r="K244" i="1" s="1"/>
  <c r="S215" i="1"/>
  <c r="E244" i="1"/>
  <c r="H244" i="1"/>
  <c r="G244" i="1"/>
  <c r="F244" i="1"/>
  <c r="D244" i="1"/>
  <c r="S5" i="2" l="1"/>
  <c r="O244" i="1"/>
  <c r="C244" i="1"/>
  <c r="S236" i="1" l="1"/>
  <c r="P241" i="1" l="1"/>
  <c r="S241" i="1" s="1"/>
  <c r="P216" i="1"/>
  <c r="P243" i="1" l="1"/>
  <c r="P244" i="1" s="1"/>
  <c r="S244" i="1" s="1"/>
  <c r="P238" i="1"/>
  <c r="S238" i="1" s="1"/>
  <c r="S243" i="1" l="1"/>
</calcChain>
</file>

<file path=xl/sharedStrings.xml><?xml version="1.0" encoding="utf-8"?>
<sst xmlns="http://schemas.openxmlformats.org/spreadsheetml/2006/main" count="562" uniqueCount="340">
  <si>
    <t>SvF</t>
  </si>
  <si>
    <t>SjF</t>
  </si>
  <si>
    <t>FEI</t>
  </si>
  <si>
    <t>FCHPT</t>
  </si>
  <si>
    <t>FAD</t>
  </si>
  <si>
    <t>MtF</t>
  </si>
  <si>
    <t>UVP_NC MTF</t>
  </si>
  <si>
    <t>FIIT</t>
  </si>
  <si>
    <t>ÚZ ŠDaJ</t>
  </si>
  <si>
    <t>UZ Technik</t>
  </si>
  <si>
    <t>UM</t>
  </si>
  <si>
    <t>UVP_NC Rektorát</t>
  </si>
  <si>
    <t>R_STU_neúčelová</t>
  </si>
  <si>
    <t>STU aktivity</t>
  </si>
  <si>
    <t>Fakulty aktivity</t>
  </si>
  <si>
    <t>STU spolu</t>
  </si>
  <si>
    <t xml:space="preserve">Upravená dotácia podľa DZ </t>
  </si>
  <si>
    <t>Úpravy po AS</t>
  </si>
  <si>
    <t>P/PP</t>
  </si>
  <si>
    <t>Vládni štipendisti</t>
  </si>
  <si>
    <t>05T 08</t>
  </si>
  <si>
    <t>projekty DAAD, vládne štipendiá</t>
  </si>
  <si>
    <t>021 02 03</t>
  </si>
  <si>
    <t>projekty APVV</t>
  </si>
  <si>
    <t>06K 11</t>
  </si>
  <si>
    <t>prierezové projekty</t>
  </si>
  <si>
    <t>06K 12</t>
  </si>
  <si>
    <t>motivačné štipendiá pre vybrané štud. odbory</t>
  </si>
  <si>
    <t>077 15 02</t>
  </si>
  <si>
    <t xml:space="preserve">motivačné štipendiá </t>
  </si>
  <si>
    <t>Úprava na Dotačnú zmluvu 2022</t>
  </si>
  <si>
    <t>077 11</t>
  </si>
  <si>
    <t>077 12 01</t>
  </si>
  <si>
    <t>077 11 / 610</t>
  </si>
  <si>
    <t>077 11 / 620</t>
  </si>
  <si>
    <t>077 12 01 / 610</t>
  </si>
  <si>
    <t>077 12 01 / 620</t>
  </si>
  <si>
    <t>077 15 03</t>
  </si>
  <si>
    <t>interné úpravy dotácie mimo DZ:</t>
  </si>
  <si>
    <t>Úprava - projekt APVV-21-0173</t>
  </si>
  <si>
    <t>interné úpravy dotácie dľa DZ:</t>
  </si>
  <si>
    <t>Účel STU - integrátory AIS</t>
  </si>
  <si>
    <t>Prorektori 2022 - mzdy- zákazka 1049</t>
  </si>
  <si>
    <t>Prorektori 2022 - odvody - zákazka 1049</t>
  </si>
  <si>
    <t>Úcel STU -Smernica rektora č.8 - mzdy</t>
  </si>
  <si>
    <t>Účel STU -Smernica rektora č.8 - odvody</t>
  </si>
  <si>
    <t>Účel STU - Fond rektora - mzdy</t>
  </si>
  <si>
    <t>Účel STU - Fond rektora - odvody</t>
  </si>
  <si>
    <t xml:space="preserve">Účel STU - Akademický senát </t>
  </si>
  <si>
    <t>Účel STU - AS - zákazka 1035 - mzdy</t>
  </si>
  <si>
    <t>Účel STU - AS - zákazka 1035 - odvody</t>
  </si>
  <si>
    <t xml:space="preserve">Účel STU - podpora excelent. tímov </t>
  </si>
  <si>
    <t>Účel STU- oprava rozpisu_integrátory(mzdy)</t>
  </si>
  <si>
    <t>Účel STU- oprava rozpisu_integrátory(odvody)</t>
  </si>
  <si>
    <t>Účel STU - personálne zabezpečenie SIVVP</t>
  </si>
  <si>
    <t xml:space="preserve">Účel STU- SASPRO 2 </t>
  </si>
  <si>
    <t>Účel STU- právne zabezpečenie-mimoriadne odmeny</t>
  </si>
  <si>
    <t>vzájiomné pedagogické výkony - 5/2022 - mzdy</t>
  </si>
  <si>
    <t>vzájiomné pedagogické výkony - 5/2022 -odvody</t>
  </si>
  <si>
    <t>vzájiomné pedagogické výkony -4/2021 - mzdy</t>
  </si>
  <si>
    <t>vzájiomné pedagogické výkony -4/2021 -odvody</t>
  </si>
  <si>
    <t>vzájiomné pedagogické výkony -10/2021 - mzdy</t>
  </si>
  <si>
    <t>vzájiomné pedagogické výkony -10/2021 -odvody</t>
  </si>
  <si>
    <t>úpravy - vzájomné výkony vo vzdel. MP</t>
  </si>
  <si>
    <t>úpravy- vzájomné výkony vo vzd. odvody</t>
  </si>
  <si>
    <t>presun mezi programami - mzdy</t>
  </si>
  <si>
    <t>presun mezi programami - odvody</t>
  </si>
  <si>
    <t>presun mezi programami - TaS</t>
  </si>
  <si>
    <t>úpravy spolu</t>
  </si>
  <si>
    <t>úpravy spolu dľa DZ</t>
  </si>
  <si>
    <t>FA</t>
  </si>
  <si>
    <t>UVP_NC</t>
  </si>
  <si>
    <t>R+CUP</t>
  </si>
  <si>
    <t>Schválená dotácia AS 2021</t>
  </si>
  <si>
    <t xml:space="preserve">DOTÁCIE KV SPOLU PODĽA  DZ k </t>
  </si>
  <si>
    <t>kv+bv</t>
  </si>
  <si>
    <t>spolu BV+KV</t>
  </si>
  <si>
    <t>kontrola celkom</t>
  </si>
  <si>
    <t>v €</t>
  </si>
  <si>
    <t>STU  s u m á r</t>
  </si>
  <si>
    <t>UVP _NC                    MTF</t>
  </si>
  <si>
    <t>Fak.,UM,UVP spolu</t>
  </si>
  <si>
    <t xml:space="preserve">UZ ŠDaJ </t>
  </si>
  <si>
    <t>R-STU</t>
  </si>
  <si>
    <t>Bežné a kapitálové výdavky spolu</t>
  </si>
  <si>
    <t>Bežné výdavky spolu</t>
  </si>
  <si>
    <t>Program  077 -bežné výdavky v zmysle dotačnej zmluvy</t>
  </si>
  <si>
    <t xml:space="preserve">Podprogram  077 11 - VŠ vzdelávanie </t>
  </si>
  <si>
    <t xml:space="preserve">    077 11- mzdy SPOLU</t>
  </si>
  <si>
    <t>077 11 - Mzdy výkonové</t>
  </si>
  <si>
    <t>Účel STU - Fond rektora</t>
  </si>
  <si>
    <t>Účel STU -Prorektori 2022 - zákazka 1049</t>
  </si>
  <si>
    <t xml:space="preserve"> </t>
  </si>
  <si>
    <t xml:space="preserve">    077 11- odvody SPOLU</t>
  </si>
  <si>
    <t>077 11 - odvody z miezd</t>
  </si>
  <si>
    <t>Účel STU - Prorektori  2022 - zákazka 1049</t>
  </si>
  <si>
    <t xml:space="preserve">    077 11-TaS SPOLU</t>
  </si>
  <si>
    <t>077 11 - TaS neúčelové</t>
  </si>
  <si>
    <t>Účel MŠ PCA Slovakia</t>
  </si>
  <si>
    <t>Účel MŠ špecifické potreby</t>
  </si>
  <si>
    <t>Účel MŠ Študentská formula</t>
  </si>
  <si>
    <t>VO Softvér (e-Biz) ročný poplatok za licenciu</t>
  </si>
  <si>
    <t>Vydavateľská činnosť - SPECTRUM</t>
  </si>
  <si>
    <t>Medzinárodné vzťahy</t>
  </si>
  <si>
    <t>Podpora spolupráce s praxou</t>
  </si>
  <si>
    <t>Účel MŠ - odmeny v zmysle kol. zmluvy</t>
  </si>
  <si>
    <t>Účel MŠ - rekreačný príspevok</t>
  </si>
  <si>
    <t>Účel MŠ - medzinárodné súťaže(Rormula East/Alpe(ref.)</t>
  </si>
  <si>
    <t>Dodatok č. 8 _ neúčelová</t>
  </si>
  <si>
    <t>Dodatok č.10_odmeny v zmysle kol. zmluvy</t>
  </si>
  <si>
    <t>Dodatok č.10_dofinancovanie vzdelávania</t>
  </si>
  <si>
    <t>Účel MŠ - zabezpečenie prevádzky PCA</t>
  </si>
  <si>
    <t>Účel MŠ - študentská formula</t>
  </si>
  <si>
    <t>Účel MŠ - podpora študentov so špec.potrebami</t>
  </si>
  <si>
    <t>Účel STU- materiálnotech. a org. zabezp. vzdelávacích činností pre STU (Útvar vzdelávania)</t>
  </si>
  <si>
    <t>Účel STU - súdne spory a poplatky</t>
  </si>
  <si>
    <t>Účel STU - CUVTIS</t>
  </si>
  <si>
    <t>Účel STU - licencia e-BIZ</t>
  </si>
  <si>
    <t>Účel STU - činnosti vedeckej rady (Útvar vedy)</t>
  </si>
  <si>
    <t xml:space="preserve">Účel STU - činnosť VSK komisie </t>
  </si>
  <si>
    <t>Účel STU - rozvoj medzinárodných vťahov</t>
  </si>
  <si>
    <t>Účel STU - zabezpečenie externej a internej komunikácie STU(Útvar práce s ver.)</t>
  </si>
  <si>
    <t>Účel STU - činnosť akademického senátu STU</t>
  </si>
  <si>
    <t>Účel STU - činnosť Vydavateľstva STU</t>
  </si>
  <si>
    <t>Účel STU - Centrum akademického športu</t>
  </si>
  <si>
    <t>Účel STU - činnosť Univerzitného vedeckého inkubátora</t>
  </si>
  <si>
    <t>Podprogram  07712 - veda a technika</t>
  </si>
  <si>
    <t>0771201 - inštituc. veda SPOLU</t>
  </si>
  <si>
    <t>Účel STU - Akademický senát</t>
  </si>
  <si>
    <t>ANSYS, MATLAB, ARL, LabView, e-Porady</t>
  </si>
  <si>
    <t>CVT - upgrade hardvéru</t>
  </si>
  <si>
    <t>SIVVPP  energie</t>
  </si>
  <si>
    <t>Odborné databázy (EIZ) s celouniverzitným zameraním</t>
  </si>
  <si>
    <t>Sciendo (de Gruyter) - elektronické publikovanie článkov</t>
  </si>
  <si>
    <t>Zabezpečenie vzdelávania doktorandov</t>
  </si>
  <si>
    <t>Podpora medzinárodnej VT spolupráce</t>
  </si>
  <si>
    <t>Zabezpečenie agendy univerzitnej knižnice</t>
  </si>
  <si>
    <t>InQb</t>
  </si>
  <si>
    <t>Centrum akademického športu</t>
  </si>
  <si>
    <t>Vedec roka STU</t>
  </si>
  <si>
    <t>Odmenenie najlepších výstupov tvorivej činnosti</t>
  </si>
  <si>
    <t>077 12 02 - VEGA</t>
  </si>
  <si>
    <t>077 12 05 - KEGA</t>
  </si>
  <si>
    <t>Podprogram  077 13 - rozvoj VŠ</t>
  </si>
  <si>
    <t>Dodatok č. 9_CONNECT, MŠ MTF, opt.proces</t>
  </si>
  <si>
    <t>Podprogram  077 15 - sociálne služby</t>
  </si>
  <si>
    <t>0771501 - sociálne štipendiá</t>
  </si>
  <si>
    <t>0771501 - tehotenské štipendiá</t>
  </si>
  <si>
    <t>0771502 - motivačné štipendiá pre vybrané štud. odbory</t>
  </si>
  <si>
    <t xml:space="preserve">0771502 - motivačné štipendiá </t>
  </si>
  <si>
    <t>Podprogram 07715 03 spolu</t>
  </si>
  <si>
    <t>077 1503   ŠD spolu</t>
  </si>
  <si>
    <t>077 1503 - ŠD - mzdy</t>
  </si>
  <si>
    <t>077 1503 - ŠD - odvody</t>
  </si>
  <si>
    <t>077 1503 - ŠD - valorizácia</t>
  </si>
  <si>
    <t>0771503 - ŠD - valorizácia odvody</t>
  </si>
  <si>
    <t>077 1503 - ŠD -TaS</t>
  </si>
  <si>
    <t>077 1503 - strav. príspevok (09607)</t>
  </si>
  <si>
    <t>077 1503 - šport (0810)</t>
  </si>
  <si>
    <t>Podprogram 06K11 - APVV</t>
  </si>
  <si>
    <t>Podprogram 06K12- prierezové programy</t>
  </si>
  <si>
    <t>Podprogram 06K12</t>
  </si>
  <si>
    <t>Podprogram 06K0A02-štátne programy</t>
  </si>
  <si>
    <t>Podprogram 05T08 - zahr. štipendisti</t>
  </si>
  <si>
    <t>Podprogram 0210203 - proj. DAAD</t>
  </si>
  <si>
    <t>Kapitálové výdavky celkom</t>
  </si>
  <si>
    <t>Program  077 -Kapitálové výdavky v zmysle dotačnej zmluvy</t>
  </si>
  <si>
    <t>rozdelenie valorizácie z Dotačnej zmuvy</t>
  </si>
  <si>
    <t>rozdelenie valorizácie z Dotačnej zmuvy - mzdy</t>
  </si>
  <si>
    <t>rozdelenie valorizácie z Dotačnej zmuvy - odvody</t>
  </si>
  <si>
    <t>rozdelenie valorizácie z Dotačnej zmuvy - doktorandi</t>
  </si>
  <si>
    <t>Dodatok č.1_ExcP</t>
  </si>
  <si>
    <t>STU - príkaz na vyplatenie odmien_1002 - mzdy</t>
  </si>
  <si>
    <t>STU - príkaz na vyplatenie odmien_1002 -odvody</t>
  </si>
  <si>
    <t>Dodatok č. 2 - RI 48317_Rekonštrukcia dvora pozdĺž budovy CVT-2.etapa - účelová</t>
  </si>
  <si>
    <t>STU - príkaz na vyplatenie odmien_1016- mzdy</t>
  </si>
  <si>
    <t>STU - príkaz na vyplatenie odmien_1016 -odvody</t>
  </si>
  <si>
    <t>STU - príkaz na vyplatenie odmien_1016 - mzdy</t>
  </si>
  <si>
    <t>APVV - prierezové projekty</t>
  </si>
  <si>
    <t xml:space="preserve">DOTÁCIE KV SPOLU k </t>
  </si>
  <si>
    <t>vládne štipendiá 1P01, 3P01 - POO</t>
  </si>
  <si>
    <t>077 13</t>
  </si>
  <si>
    <r>
      <t>Podprogram</t>
    </r>
    <r>
      <rPr>
        <b/>
        <u/>
        <sz val="9"/>
        <rFont val="Calibri"/>
        <family val="2"/>
        <charset val="238"/>
        <scheme val="minor"/>
      </rPr>
      <t xml:space="preserve"> 077 13 -zdroj 1P01,3P01 - POO</t>
    </r>
  </si>
  <si>
    <t>oprava rozdelenia motivačných štipendií</t>
  </si>
  <si>
    <t>vzájiomné pedagogické výkony -2022 - mzdy</t>
  </si>
  <si>
    <t>vzájiomné pedagogické výkony -2022 -odvody</t>
  </si>
  <si>
    <t>077 12 02</t>
  </si>
  <si>
    <t>077 12 05</t>
  </si>
  <si>
    <t>Dodatok č. 3 - RI 48739_Oprava zatekajúcej strechy nad učebňami - 1.58, -1.57, Ilkovičova 2, Bratislava</t>
  </si>
  <si>
    <t>Dodatok č. 3 - RI 48740_Oprava rozvodov a šatní pri atletickom štadióne, Račianska 103, Bratislava</t>
  </si>
  <si>
    <t>Dodatok č. 3 - RI 48741_Rekonštrukcia lezatých rozvodov SV, TV a cirkulácie v novej budove - 2. NP, Radlinského 9, Bratislava</t>
  </si>
  <si>
    <t>Dodatok č. 3 - RI 48742_Vybudovanie multifunkčných ihrísk v campuse MTF, ul. Jána Bottu č. 2781/25, Trnava (v súvislosti s usporiadaním Letnej časti Slovenskej univeziády v roku 2024)</t>
  </si>
  <si>
    <t>Dodatok č. 3 - RI 48743_Implementácia inovatívnej infraštruktúry telocvične STU, Nám. Slobody 17, Bratislava (v súvislosti s usporiadaním Letnej časti Slovenskej univeziády v roku 2024)</t>
  </si>
  <si>
    <t>úprava športu 0810 na základe zmlúv</t>
  </si>
  <si>
    <t>077 12 01/ 620</t>
  </si>
  <si>
    <t>STU - príkaz na vyplatenie odmien_mzdy</t>
  </si>
  <si>
    <t>Úprava - projekt APVV-19-0401</t>
  </si>
  <si>
    <t>Úprava-projekt APVV-21-0144</t>
  </si>
  <si>
    <t>Schválená dotácia 2023 - vrátane Dodatku č. 1</t>
  </si>
  <si>
    <t>z toho - rozdelenie valorizácie z Dotačnej zmuvy - mzdy</t>
  </si>
  <si>
    <t>z toho - rozdelenie valorizácie z Dotačnej zmuvy - odvody</t>
  </si>
  <si>
    <t>Fond rektora</t>
  </si>
  <si>
    <t>Podpora publikovania v Open Access</t>
  </si>
  <si>
    <t>Mladý výskumník a excelentné tímy</t>
  </si>
  <si>
    <t>Spolufinancovanie projektu H2020 SASPRO 2</t>
  </si>
  <si>
    <t>Členstvo v KIC EIT, EFRA</t>
  </si>
  <si>
    <t>Audity Horizon projektov</t>
  </si>
  <si>
    <t>ACCORD 5% spolufinancovanie</t>
  </si>
  <si>
    <t>Projektové stredisko</t>
  </si>
  <si>
    <t>Právny a organizačný útvar</t>
  </si>
  <si>
    <t>Úprava na Dotačnú zmluvu 20223- šport-CAŠ-letná univerziáda</t>
  </si>
  <si>
    <t>Úprava na Dotačnú zmluvu 2023- kultúra-TECHNIK</t>
  </si>
  <si>
    <t>077 15 03 / 0820</t>
  </si>
  <si>
    <t>077 15 03 / 0810</t>
  </si>
  <si>
    <t>úprava 0771502 motivačné štipendiá zaktivít STU na R STU</t>
  </si>
  <si>
    <t>bežné výdavky</t>
  </si>
  <si>
    <t>kapitálové výdavky</t>
  </si>
  <si>
    <t>presun Fondu rektora-medzi programami</t>
  </si>
  <si>
    <t>presun Fondu rektora-medzi programami mzdy</t>
  </si>
  <si>
    <t>presun Fondu rektora-medzi programami odvody</t>
  </si>
  <si>
    <t xml:space="preserve">Dodatočk č. 4 - VEGA </t>
  </si>
  <si>
    <t>Dodatok č. 4 - KEGA</t>
  </si>
  <si>
    <t>ÚPRAVY  DOTÁCIE  KAPITÁLOVÝCH  VÝDAVKOV _po SR</t>
  </si>
  <si>
    <t>ÚPRAVY  DOTÁCIE  BEŽNÝCH  VÝDAVKOV  ROK 2023 -po Správnej rade</t>
  </si>
  <si>
    <t>Súhrnná tabuľka o rozpise dotácie STU _2023_po Správnej rade</t>
  </si>
  <si>
    <t>vzájiomné pedagogické výkony -7/2022 - mzdy FCHPT na ÚM</t>
  </si>
  <si>
    <t>vzájiomné pedagogické výkony -7/2022 -odvody FCHPT na ÚM</t>
  </si>
  <si>
    <t>presun mezi programami - InQb</t>
  </si>
  <si>
    <t>presun mezi programami - InQb - TaS</t>
  </si>
  <si>
    <t>presun mezi programami - správne orgány</t>
  </si>
  <si>
    <t>presun mezi programami - Akademický senát</t>
  </si>
  <si>
    <t>077 1503 - Technik (0820)</t>
  </si>
  <si>
    <t xml:space="preserve">Účel STU - poradenské centrum </t>
  </si>
  <si>
    <t>Účel STU - Útvar vzdelávania a starostlivosti o študentov</t>
  </si>
  <si>
    <t xml:space="preserve">Účel STU - študentské aktivity </t>
  </si>
  <si>
    <t>Účel STU - kancelária kvality</t>
  </si>
  <si>
    <t>Účel STU - Útvar práce s verejnosťou</t>
  </si>
  <si>
    <t>Účel STU - ochrana duševného vlastníctva (Smernica č.8) - Know How centrum</t>
  </si>
  <si>
    <t>vzájiomné pedagogické výkony -2021,2022 (SvF) - mzdy</t>
  </si>
  <si>
    <t>vzájiomné pedagogické výkony -2021,2022 (SvF) -odvody</t>
  </si>
  <si>
    <t>Zabezpečenie činnosti Vedeckej rady STU</t>
  </si>
  <si>
    <t>Zabezpčenie činnosti Správnej rady STU</t>
  </si>
  <si>
    <t>presun mezi programami FEI, SjF na 077 11</t>
  </si>
  <si>
    <t>077 1503 - Letná Univerziáda (0810)</t>
  </si>
  <si>
    <t>vzájiomné pedagogické výkony -923-22,23 - mzdy z FIIT na ÚM</t>
  </si>
  <si>
    <t>vzájiomné pedagogické výkony -923-22,23-odvody z FIIT na ÚM</t>
  </si>
  <si>
    <t>Dodatok č. 5 - od 1.9.2023</t>
  </si>
  <si>
    <t>Dodatok č. 5 -od 1.9.2023</t>
  </si>
  <si>
    <t>Účel MŠ - špičkový tím Modelovanie neurčitosti</t>
  </si>
  <si>
    <t>STU - príkaz na vyplatenie odmien_1016- mzdy, zákazka: 7093 CEVIS Science</t>
  </si>
  <si>
    <t>STU - príkaz na vyplatenie odmien_1016 -odvody, zákazka:7093 CEVIS Science</t>
  </si>
  <si>
    <t>Dodatok č. 7 - 077 13, 094 13 - Rozvojové projekty (Internacionalizácia, Značka HRS4R)</t>
  </si>
  <si>
    <t>presun medzi ÚM a R-STU - TaS (žiadosť o internú úpravu) 630</t>
  </si>
  <si>
    <t>presun medzi ÚM a R-STU - Mzdy (žiadosť o internú úpravu) 610</t>
  </si>
  <si>
    <t>presun medzi ÚM a R-STU - Odvody (žiadosť o internú úpravu) 620</t>
  </si>
  <si>
    <t>Dodatok č. 8 - 0771201,01402-N. pracovisko s neutrónovým generátorom</t>
  </si>
  <si>
    <t xml:space="preserve">FEI účelová - Nové prac. S neutrónovým generátorom </t>
  </si>
  <si>
    <t>077 15 01</t>
  </si>
  <si>
    <t>Dodatok č. 9 - sociálne štipendiá 09413</t>
  </si>
  <si>
    <t>Dodatok č. 9 - stravné 09607</t>
  </si>
  <si>
    <t>presun mezi programami - Rektorát - z TaS na TaS</t>
  </si>
  <si>
    <t>presun mezi programami - ÚM - z valorizácia doktorandi na výkonové zložky</t>
  </si>
  <si>
    <t xml:space="preserve">presun mezi programami - ÚM - z výkonové zložky na mzdy a odvody </t>
  </si>
  <si>
    <t xml:space="preserve">presun medzi programami - ÚM - z výkonové zložky na mzdy </t>
  </si>
  <si>
    <t>presun medzi programami - ÚM - z výkonové zložky na odvody</t>
  </si>
  <si>
    <t>presun medzi programami - SvF - mzdové prostriedky 077 12 01</t>
  </si>
  <si>
    <t>presun medzi programami - SvF - mzdové  prostriedky - mzdy 077 11</t>
  </si>
  <si>
    <t>presun medzi programami - SvF - mzdové prostriedky - odvody 077 11</t>
  </si>
  <si>
    <t>presun medzi programami - Podpora spolupráce s praxou TaS</t>
  </si>
  <si>
    <t>07711</t>
  </si>
  <si>
    <t>Účel STU - kancelária kvality - vnútorný systém kvality  - mzdy</t>
  </si>
  <si>
    <t>Účel STU - kancelária kvality - vnútorný systém kvality -  odvody</t>
  </si>
  <si>
    <t>presun medzi programami - MTF z 077 12 01 na 077 11 odvody</t>
  </si>
  <si>
    <t>presun medzi programami - MTF z 077 12 01 na 077 11 mzdy</t>
  </si>
  <si>
    <t>presun medzi programami - MTF NC z 077 12 01 na 077 11 mzdy</t>
  </si>
  <si>
    <t>presun medzi programami - MTF NC z 077 12 01 na 077 11 odvody</t>
  </si>
  <si>
    <t>presun medzi programami - MTF z 077 12 01 na 077 11 mzdy + odvody</t>
  </si>
  <si>
    <t>presun medzi programami - MTF NC z 077 12 01 na 077 11 mzdy+ odvody</t>
  </si>
  <si>
    <t>077 11 /610</t>
  </si>
  <si>
    <t>077 11 /620</t>
  </si>
  <si>
    <t>presun FP z R STU na FEI zákazka 1211, prac 901121 Internacionalizácia</t>
  </si>
  <si>
    <t>STU - príkaz na vyplatenie odmien_1002- odvody</t>
  </si>
  <si>
    <t>presun mezi programami - energie MŠVVaŠ z 0771503 na 07711</t>
  </si>
  <si>
    <t xml:space="preserve">Noc výskumníkov </t>
  </si>
  <si>
    <t>presun mezi fakultami - 5% ACCORD</t>
  </si>
  <si>
    <t>presun medzi progamami - 5% ACCORD SjF z programu 07711 na 0771201</t>
  </si>
  <si>
    <t>presun medzi programami - FCHPT 077 12 01</t>
  </si>
  <si>
    <t>presun medzi programami - FCHPT 077 11 - mzdy</t>
  </si>
  <si>
    <t>presun medzi programami - FCHPT 077 11 - odvody</t>
  </si>
  <si>
    <t>presun medzi programami - FCHPT 077 11 - TaS</t>
  </si>
  <si>
    <t>Dodatok č. 10 - dofinancovanie 077 11</t>
  </si>
  <si>
    <t>Dodatok č. 10 - dofinancovanie 077 12 01</t>
  </si>
  <si>
    <t>Dodatok č. 10 - presun medzi programami 077 15 03 an 077 11 (viď r. 174,175)</t>
  </si>
  <si>
    <t>r. 174,175</t>
  </si>
  <si>
    <t>Dodatok č. 10 - aktivity Letná univ.24 - SjF, Washington-R-STU</t>
  </si>
  <si>
    <t xml:space="preserve">Dodatok č. 10 - aktivity (ŠVOČ - FCHPT, FIIT) </t>
  </si>
  <si>
    <t>Dodatok č. 9 - ENERGIE (2.časť dotácie) - 094 13</t>
  </si>
  <si>
    <t>Dodatok č. 6 - ENERGIE (1.časť dotácie) 077 11, 094 13</t>
  </si>
  <si>
    <t>Dodatok č. 6 - ENERGIE (1.časť dotácie) 077 12 01, 014 02</t>
  </si>
  <si>
    <t>Dodatok č. 6 - ENERGIE (1.časť dotácie) 077 15 03, 096 06</t>
  </si>
  <si>
    <t>Dodatok č. 10 - ENERGIE (3.časť dotácie) - 077 11, 094 13</t>
  </si>
  <si>
    <t>Dodatok č. 10 - rekreácie 1-9</t>
  </si>
  <si>
    <t>Dodatok č. 10 - rekreácie 1-9, 10-12</t>
  </si>
  <si>
    <t>Dodatok č. 10 - dofinancovanie vzdel.činnosti VŠ 077 11</t>
  </si>
  <si>
    <t>Dodatok č. 10 - Letná univerziáda 2024 - SjF 077 11</t>
  </si>
  <si>
    <t>Dodatok č. 10 - ENERGIA (3.časť dotácie) - 077 11</t>
  </si>
  <si>
    <t>DOTÁCIA ENERGIE (1.časť dotácie)</t>
  </si>
  <si>
    <t>presun medzi programami - Letná univerziáda - z 077 11 Dodatok č. 10</t>
  </si>
  <si>
    <t>presun medzi programami - Letná univerziáda - na 077 15 03 Dodatok č. 10</t>
  </si>
  <si>
    <t>úprava Dotácia ENERGIE MTF - Dodatok č. 10 (vrátenie 164 504 eur)</t>
  </si>
  <si>
    <t>07712 - výkonové zložky + Dodatok č. 10-dofin.vedy</t>
  </si>
  <si>
    <t>Dodatok č. 10 - Príspevok na rekreáciu</t>
  </si>
  <si>
    <t>077 1503- ŠD - príspevok na rekreáciu</t>
  </si>
  <si>
    <t>DOTÁCIA ENERGIE (1.časť dotácie) 077 12 01</t>
  </si>
  <si>
    <t>Dodatok č. 10 - ŠVOČ FCHPT a FIIT (0820)</t>
  </si>
  <si>
    <t>Dodatok č. 10 - Dofinancovanie účasti na MVVŠV Washington</t>
  </si>
  <si>
    <t>DOTÁCIA ENERGIE (2.časť dotácie)</t>
  </si>
  <si>
    <t>presun medzi fakultami - Mladý výskumník</t>
  </si>
  <si>
    <t>presun medzi fakultami - Excelentné tímy mladých výskumníkov</t>
  </si>
  <si>
    <t xml:space="preserve">presun zo stĺpca STU aktivity do NEROZDELENÁ dotácia </t>
  </si>
  <si>
    <t xml:space="preserve">NEROZDELENÁ dotácia </t>
  </si>
  <si>
    <t>presun medzi programami - FEI 077 12 01</t>
  </si>
  <si>
    <t>presun medzi programami - FEI 077 11 - TaS</t>
  </si>
  <si>
    <t>úprava Fond rektora do R STU z STU aktivity - mzdy</t>
  </si>
  <si>
    <t>úprava Fond rektora do R STU z STU aktivity - odvody</t>
  </si>
  <si>
    <t>rekreačné poukazy - rozdelenie dotácie 10-12</t>
  </si>
  <si>
    <t>presun medzi programami - z Rektorát 077 11 - rekreačné poukazy</t>
  </si>
  <si>
    <t>presun medzi porgramami - na Rektorát 077 12 01 - rekreačné poukazy</t>
  </si>
  <si>
    <t>presun medzi porgramami - Rektorát 077 15 03 - rekreačné poukazy</t>
  </si>
  <si>
    <t>presun medzi programami - z Rektorát 077 11 - energie</t>
  </si>
  <si>
    <t>presun medzi porgramami - na Rektorát 077 12 01 - energie</t>
  </si>
  <si>
    <t>presun medzi porgramami - Rektorát 077 15 03 - energie</t>
  </si>
  <si>
    <t>energie - rozdelenie dotácie 10-12</t>
  </si>
  <si>
    <t>rozdelenie dotácie 077 11 - z Dodatku č. 10</t>
  </si>
  <si>
    <t>rozdelenie dotácie 077 12 01 - z Dodatku č. 10</t>
  </si>
  <si>
    <t>Tabuľka č.1</t>
  </si>
  <si>
    <t>Tabuľka č. 2</t>
  </si>
  <si>
    <t xml:space="preserve">DOTÁCIE BV SPOLU PODĽA DZ                                            </t>
  </si>
  <si>
    <t xml:space="preserve">DOTÁCIE BV SPOLU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</si>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</sst>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S_k_-;\-* #,##0.00\ _S_k_-;_-* &quot;-&quot;??\ _S_k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4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z val="9"/>
      <color indexed="48"/>
      <name val="Calibri"/>
      <family val="2"/>
      <charset val="238"/>
      <scheme val="minor"/>
    </font>
    <font>
      <sz val="9"/>
      <color indexed="57"/>
      <name val="Calibri"/>
      <family val="2"/>
      <charset val="238"/>
      <scheme val="minor"/>
    </font>
    <font>
      <sz val="9"/>
      <color indexed="36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b/>
      <sz val="9"/>
      <color theme="6" tint="-0.249977111117893"/>
      <name val="Calibri"/>
      <family val="2"/>
      <charset val="238"/>
      <scheme val="minor"/>
    </font>
    <font>
      <sz val="9"/>
      <color indexed="17"/>
      <name val="Calibri"/>
      <family val="2"/>
      <charset val="238"/>
      <scheme val="minor"/>
    </font>
    <font>
      <b/>
      <sz val="9"/>
      <color indexed="57"/>
      <name val="Calibri"/>
      <family val="2"/>
      <charset val="238"/>
      <scheme val="minor"/>
    </font>
    <font>
      <b/>
      <i/>
      <sz val="9"/>
      <color indexed="57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color indexed="4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</cellStyleXfs>
  <cellXfs count="616">
    <xf numFmtId="0" fontId="0" fillId="0" borderId="0" xfId="0"/>
    <xf numFmtId="17" fontId="2" fillId="0" borderId="0" xfId="0" applyNumberFormat="1" applyFont="1"/>
    <xf numFmtId="0" fontId="4" fillId="0" borderId="0" xfId="2" applyFont="1"/>
    <xf numFmtId="4" fontId="2" fillId="0" borderId="0" xfId="2" applyNumberFormat="1" applyFont="1"/>
    <xf numFmtId="4" fontId="5" fillId="0" borderId="0" xfId="2" applyNumberFormat="1" applyFont="1"/>
    <xf numFmtId="4" fontId="6" fillId="0" borderId="0" xfId="2" applyNumberFormat="1" applyFont="1"/>
    <xf numFmtId="4" fontId="2" fillId="0" borderId="0" xfId="0" applyNumberFormat="1" applyFont="1"/>
    <xf numFmtId="0" fontId="2" fillId="0" borderId="0" xfId="0" applyFont="1"/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4" fontId="5" fillId="0" borderId="2" xfId="2" applyNumberFormat="1" applyFont="1" applyBorder="1" applyAlignment="1">
      <alignment horizontal="center"/>
    </xf>
    <xf numFmtId="4" fontId="5" fillId="0" borderId="3" xfId="2" applyNumberFormat="1" applyFont="1" applyBorder="1" applyAlignment="1">
      <alignment horizontal="center"/>
    </xf>
    <xf numFmtId="4" fontId="5" fillId="2" borderId="2" xfId="3" applyNumberFormat="1" applyFont="1" applyFill="1" applyBorder="1" applyAlignment="1">
      <alignment horizontal="center"/>
    </xf>
    <xf numFmtId="4" fontId="5" fillId="0" borderId="2" xfId="2" applyNumberFormat="1" applyFont="1" applyBorder="1" applyAlignment="1">
      <alignment horizontal="center" wrapText="1"/>
    </xf>
    <xf numFmtId="4" fontId="7" fillId="2" borderId="2" xfId="4" applyNumberFormat="1" applyFont="1" applyFill="1" applyBorder="1" applyAlignment="1">
      <alignment wrapText="1"/>
    </xf>
    <xf numFmtId="0" fontId="5" fillId="3" borderId="1" xfId="2" applyFont="1" applyFill="1" applyBorder="1"/>
    <xf numFmtId="0" fontId="5" fillId="3" borderId="2" xfId="2" applyFont="1" applyFill="1" applyBorder="1"/>
    <xf numFmtId="4" fontId="5" fillId="3" borderId="4" xfId="2" applyNumberFormat="1" applyFont="1" applyFill="1" applyBorder="1"/>
    <xf numFmtId="0" fontId="5" fillId="5" borderId="1" xfId="2" applyFont="1" applyFill="1" applyBorder="1"/>
    <xf numFmtId="0" fontId="5" fillId="5" borderId="2" xfId="2" applyFont="1" applyFill="1" applyBorder="1" applyAlignment="1">
      <alignment wrapText="1"/>
    </xf>
    <xf numFmtId="4" fontId="5" fillId="5" borderId="2" xfId="2" applyNumberFormat="1" applyFont="1" applyFill="1" applyBorder="1"/>
    <xf numFmtId="4" fontId="5" fillId="5" borderId="3" xfId="2" applyNumberFormat="1" applyFont="1" applyFill="1" applyBorder="1"/>
    <xf numFmtId="0" fontId="5" fillId="6" borderId="7" xfId="2" applyFont="1" applyFill="1" applyBorder="1"/>
    <xf numFmtId="0" fontId="5" fillId="0" borderId="8" xfId="2" applyFont="1" applyBorder="1"/>
    <xf numFmtId="4" fontId="2" fillId="0" borderId="8" xfId="2" applyNumberFormat="1" applyFont="1" applyBorder="1"/>
    <xf numFmtId="4" fontId="2" fillId="0" borderId="9" xfId="2" applyNumberFormat="1" applyFont="1" applyBorder="1"/>
    <xf numFmtId="4" fontId="2" fillId="0" borderId="10" xfId="2" applyNumberFormat="1" applyFont="1" applyBorder="1"/>
    <xf numFmtId="4" fontId="2" fillId="0" borderId="11" xfId="2" applyNumberFormat="1" applyFont="1" applyBorder="1"/>
    <xf numFmtId="4" fontId="2" fillId="0" borderId="12" xfId="2" applyNumberFormat="1" applyFont="1" applyBorder="1"/>
    <xf numFmtId="0" fontId="2" fillId="0" borderId="0" xfId="0" applyFont="1" applyAlignment="1">
      <alignment wrapText="1"/>
    </xf>
    <xf numFmtId="0" fontId="2" fillId="7" borderId="0" xfId="0" applyFont="1" applyFill="1"/>
    <xf numFmtId="0" fontId="14" fillId="0" borderId="0" xfId="0" applyFont="1"/>
    <xf numFmtId="0" fontId="2" fillId="6" borderId="13" xfId="2" applyFont="1" applyFill="1" applyBorder="1"/>
    <xf numFmtId="49" fontId="9" fillId="6" borderId="14" xfId="2" applyNumberFormat="1" applyFont="1" applyFill="1" applyBorder="1"/>
    <xf numFmtId="4" fontId="9" fillId="6" borderId="14" xfId="2" applyNumberFormat="1" applyFont="1" applyFill="1" applyBorder="1"/>
    <xf numFmtId="4" fontId="9" fillId="6" borderId="15" xfId="2" applyNumberFormat="1" applyFont="1" applyFill="1" applyBorder="1"/>
    <xf numFmtId="0" fontId="2" fillId="5" borderId="13" xfId="2" applyFont="1" applyFill="1" applyBorder="1"/>
    <xf numFmtId="49" fontId="9" fillId="5" borderId="14" xfId="2" applyNumberFormat="1" applyFont="1" applyFill="1" applyBorder="1"/>
    <xf numFmtId="4" fontId="9" fillId="5" borderId="14" xfId="2" applyNumberFormat="1" applyFont="1" applyFill="1" applyBorder="1"/>
    <xf numFmtId="4" fontId="5" fillId="3" borderId="2" xfId="2" applyNumberFormat="1" applyFont="1" applyFill="1" applyBorder="1"/>
    <xf numFmtId="4" fontId="5" fillId="3" borderId="1" xfId="2" applyNumberFormat="1" applyFont="1" applyFill="1" applyBorder="1"/>
    <xf numFmtId="4" fontId="5" fillId="3" borderId="3" xfId="2" applyNumberFormat="1" applyFont="1" applyFill="1" applyBorder="1"/>
    <xf numFmtId="4" fontId="5" fillId="0" borderId="2" xfId="2" applyNumberFormat="1" applyFont="1" applyBorder="1"/>
    <xf numFmtId="4" fontId="5" fillId="0" borderId="1" xfId="2" applyNumberFormat="1" applyFont="1" applyBorder="1"/>
    <xf numFmtId="4" fontId="5" fillId="0" borderId="3" xfId="2" applyNumberFormat="1" applyFont="1" applyBorder="1"/>
    <xf numFmtId="0" fontId="13" fillId="0" borderId="0" xfId="2" applyFont="1"/>
    <xf numFmtId="0" fontId="13" fillId="0" borderId="0" xfId="2" applyFont="1" applyAlignment="1">
      <alignment horizontal="right"/>
    </xf>
    <xf numFmtId="4" fontId="13" fillId="0" borderId="0" xfId="2" applyNumberFormat="1" applyFont="1"/>
    <xf numFmtId="0" fontId="4" fillId="0" borderId="0" xfId="0" applyFont="1" applyAlignment="1">
      <alignment horizontal="right"/>
    </xf>
    <xf numFmtId="4" fontId="4" fillId="0" borderId="0" xfId="2" applyNumberFormat="1" applyFont="1"/>
    <xf numFmtId="4" fontId="4" fillId="0" borderId="9" xfId="2" applyNumberFormat="1" applyFont="1" applyBorder="1"/>
    <xf numFmtId="0" fontId="15" fillId="0" borderId="0" xfId="0" applyFo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2" applyFont="1"/>
    <xf numFmtId="4" fontId="17" fillId="0" borderId="0" xfId="2" applyNumberFormat="1" applyFont="1"/>
    <xf numFmtId="4" fontId="17" fillId="0" borderId="9" xfId="2" applyNumberFormat="1" applyFont="1" applyBorder="1"/>
    <xf numFmtId="4" fontId="18" fillId="0" borderId="0" xfId="2" applyNumberFormat="1" applyFont="1"/>
    <xf numFmtId="4" fontId="18" fillId="7" borderId="0" xfId="2" applyNumberFormat="1" applyFont="1" applyFill="1"/>
    <xf numFmtId="0" fontId="5" fillId="0" borderId="3" xfId="2" applyFont="1" applyBorder="1"/>
    <xf numFmtId="4" fontId="5" fillId="0" borderId="1" xfId="2" applyNumberFormat="1" applyFont="1" applyBorder="1" applyAlignment="1">
      <alignment horizontal="center"/>
    </xf>
    <xf numFmtId="4" fontId="5" fillId="0" borderId="16" xfId="2" applyNumberFormat="1" applyFont="1" applyBorder="1" applyAlignment="1">
      <alignment horizontal="center"/>
    </xf>
    <xf numFmtId="4" fontId="5" fillId="0" borderId="17" xfId="2" applyNumberFormat="1" applyFont="1" applyBorder="1" applyAlignment="1">
      <alignment horizontal="center"/>
    </xf>
    <xf numFmtId="4" fontId="5" fillId="0" borderId="8" xfId="2" applyNumberFormat="1" applyFont="1" applyBorder="1" applyAlignment="1">
      <alignment horizontal="center"/>
    </xf>
    <xf numFmtId="0" fontId="5" fillId="8" borderId="3" xfId="2" applyFont="1" applyFill="1" applyBorder="1"/>
    <xf numFmtId="4" fontId="5" fillId="8" borderId="1" xfId="2" applyNumberFormat="1" applyFont="1" applyFill="1" applyBorder="1"/>
    <xf numFmtId="4" fontId="5" fillId="8" borderId="2" xfId="2" applyNumberFormat="1" applyFont="1" applyFill="1" applyBorder="1"/>
    <xf numFmtId="4" fontId="5" fillId="8" borderId="16" xfId="2" applyNumberFormat="1" applyFont="1" applyFill="1" applyBorder="1"/>
    <xf numFmtId="4" fontId="5" fillId="8" borderId="18" xfId="2" applyNumberFormat="1" applyFont="1" applyFill="1" applyBorder="1"/>
    <xf numFmtId="0" fontId="5" fillId="6" borderId="19" xfId="2" applyFont="1" applyFill="1" applyBorder="1"/>
    <xf numFmtId="0" fontId="5" fillId="0" borderId="20" xfId="2" applyFont="1" applyBorder="1"/>
    <xf numFmtId="4" fontId="2" fillId="0" borderId="19" xfId="2" applyNumberFormat="1" applyFont="1" applyBorder="1"/>
    <xf numFmtId="4" fontId="2" fillId="0" borderId="21" xfId="2" applyNumberFormat="1" applyFont="1" applyBorder="1"/>
    <xf numFmtId="4" fontId="2" fillId="0" borderId="22" xfId="2" applyNumberFormat="1" applyFont="1" applyBorder="1"/>
    <xf numFmtId="4" fontId="2" fillId="0" borderId="23" xfId="2" applyNumberFormat="1" applyFont="1" applyBorder="1"/>
    <xf numFmtId="4" fontId="5" fillId="0" borderId="9" xfId="2" applyNumberFormat="1" applyFont="1" applyBorder="1"/>
    <xf numFmtId="0" fontId="9" fillId="0" borderId="19" xfId="5" applyFont="1" applyBorder="1"/>
    <xf numFmtId="4" fontId="2" fillId="0" borderId="24" xfId="2" applyNumberFormat="1" applyFont="1" applyBorder="1"/>
    <xf numFmtId="4" fontId="2" fillId="0" borderId="25" xfId="2" applyNumberFormat="1" applyFont="1" applyBorder="1"/>
    <xf numFmtId="4" fontId="5" fillId="0" borderId="26" xfId="2" applyNumberFormat="1" applyFont="1" applyBorder="1"/>
    <xf numFmtId="0" fontId="9" fillId="0" borderId="19" xfId="2" applyFont="1" applyBorder="1"/>
    <xf numFmtId="4" fontId="2" fillId="0" borderId="27" xfId="2" applyNumberFormat="1" applyFont="1" applyBorder="1"/>
    <xf numFmtId="4" fontId="2" fillId="0" borderId="28" xfId="2" applyNumberFormat="1" applyFont="1" applyBorder="1"/>
    <xf numFmtId="4" fontId="2" fillId="0" borderId="29" xfId="2" applyNumberFormat="1" applyFont="1" applyBorder="1"/>
    <xf numFmtId="0" fontId="9" fillId="0" borderId="21" xfId="2" applyFont="1" applyBorder="1" applyAlignment="1">
      <alignment wrapText="1"/>
    </xf>
    <xf numFmtId="49" fontId="2" fillId="7" borderId="24" xfId="2" applyNumberFormat="1" applyFont="1" applyFill="1" applyBorder="1" applyAlignment="1">
      <alignment horizontal="left"/>
    </xf>
    <xf numFmtId="4" fontId="2" fillId="0" borderId="30" xfId="2" applyNumberFormat="1" applyFont="1" applyBorder="1"/>
    <xf numFmtId="0" fontId="9" fillId="0" borderId="24" xfId="2" applyFont="1" applyBorder="1" applyAlignment="1">
      <alignment wrapText="1"/>
    </xf>
    <xf numFmtId="49" fontId="2" fillId="0" borderId="31" xfId="2" applyNumberFormat="1" applyFont="1" applyBorder="1" applyAlignment="1">
      <alignment horizontal="left"/>
    </xf>
    <xf numFmtId="0" fontId="2" fillId="0" borderId="24" xfId="2" applyFont="1" applyBorder="1" applyAlignment="1">
      <alignment vertical="top" wrapText="1"/>
    </xf>
    <xf numFmtId="0" fontId="2" fillId="0" borderId="21" xfId="2" applyFont="1" applyBorder="1"/>
    <xf numFmtId="49" fontId="2" fillId="0" borderId="23" xfId="2" applyNumberFormat="1" applyFont="1" applyBorder="1" applyAlignment="1">
      <alignment horizontal="right"/>
    </xf>
    <xf numFmtId="4" fontId="2" fillId="0" borderId="24" xfId="3" applyNumberFormat="1" applyFont="1" applyBorder="1"/>
    <xf numFmtId="4" fontId="5" fillId="0" borderId="31" xfId="2" applyNumberFormat="1" applyFont="1" applyBorder="1"/>
    <xf numFmtId="4" fontId="2" fillId="0" borderId="32" xfId="2" applyNumberFormat="1" applyFont="1" applyBorder="1"/>
    <xf numFmtId="4" fontId="2" fillId="0" borderId="33" xfId="2" applyNumberFormat="1" applyFont="1" applyBorder="1"/>
    <xf numFmtId="4" fontId="2" fillId="0" borderId="33" xfId="3" applyNumberFormat="1" applyFont="1" applyBorder="1"/>
    <xf numFmtId="4" fontId="2" fillId="0" borderId="34" xfId="2" applyNumberFormat="1" applyFont="1" applyBorder="1"/>
    <xf numFmtId="0" fontId="2" fillId="0" borderId="33" xfId="2" applyFont="1" applyBorder="1"/>
    <xf numFmtId="0" fontId="2" fillId="0" borderId="35" xfId="2" applyFont="1" applyBorder="1" applyAlignment="1">
      <alignment horizontal="left"/>
    </xf>
    <xf numFmtId="4" fontId="2" fillId="0" borderId="13" xfId="2" applyNumberFormat="1" applyFont="1" applyBorder="1"/>
    <xf numFmtId="4" fontId="2" fillId="0" borderId="14" xfId="2" applyNumberFormat="1" applyFont="1" applyBorder="1"/>
    <xf numFmtId="4" fontId="2" fillId="0" borderId="36" xfId="2" applyNumberFormat="1" applyFont="1" applyBorder="1"/>
    <xf numFmtId="4" fontId="2" fillId="0" borderId="37" xfId="2" applyNumberFormat="1" applyFont="1" applyBorder="1"/>
    <xf numFmtId="4" fontId="5" fillId="0" borderId="35" xfId="2" applyNumberFormat="1" applyFont="1" applyBorder="1"/>
    <xf numFmtId="0" fontId="9" fillId="9" borderId="1" xfId="2" applyFont="1" applyFill="1" applyBorder="1"/>
    <xf numFmtId="0" fontId="2" fillId="9" borderId="3" xfId="2" applyFont="1" applyFill="1" applyBorder="1"/>
    <xf numFmtId="4" fontId="5" fillId="9" borderId="1" xfId="2" applyNumberFormat="1" applyFont="1" applyFill="1" applyBorder="1"/>
    <xf numFmtId="4" fontId="5" fillId="9" borderId="2" xfId="2" applyNumberFormat="1" applyFont="1" applyFill="1" applyBorder="1"/>
    <xf numFmtId="4" fontId="5" fillId="9" borderId="16" xfId="2" applyNumberFormat="1" applyFont="1" applyFill="1" applyBorder="1"/>
    <xf numFmtId="4" fontId="9" fillId="9" borderId="2" xfId="2" applyNumberFormat="1" applyFont="1" applyFill="1" applyBorder="1"/>
    <xf numFmtId="0" fontId="9" fillId="5" borderId="13" xfId="2" applyFont="1" applyFill="1" applyBorder="1"/>
    <xf numFmtId="0" fontId="2" fillId="5" borderId="15" xfId="2" applyFont="1" applyFill="1" applyBorder="1"/>
    <xf numFmtId="4" fontId="9" fillId="5" borderId="13" xfId="2" applyNumberFormat="1" applyFont="1" applyFill="1" applyBorder="1"/>
    <xf numFmtId="0" fontId="5" fillId="3" borderId="3" xfId="2" applyFont="1" applyFill="1" applyBorder="1"/>
    <xf numFmtId="4" fontId="5" fillId="3" borderId="16" xfId="2" applyNumberFormat="1" applyFont="1" applyFill="1" applyBorder="1"/>
    <xf numFmtId="4" fontId="5" fillId="3" borderId="38" xfId="2" applyNumberFormat="1" applyFont="1" applyFill="1" applyBorder="1"/>
    <xf numFmtId="4" fontId="5" fillId="0" borderId="16" xfId="2" applyNumberFormat="1" applyFont="1" applyBorder="1"/>
    <xf numFmtId="4" fontId="5" fillId="0" borderId="18" xfId="2" applyNumberFormat="1" applyFont="1" applyBorder="1"/>
    <xf numFmtId="0" fontId="13" fillId="0" borderId="0" xfId="0" applyFont="1"/>
    <xf numFmtId="4" fontId="13" fillId="0" borderId="0" xfId="0" applyNumberFormat="1" applyFont="1"/>
    <xf numFmtId="4" fontId="19" fillId="0" borderId="0" xfId="0" applyNumberFormat="1" applyFont="1"/>
    <xf numFmtId="4" fontId="8" fillId="0" borderId="0" xfId="0" applyNumberFormat="1" applyFont="1"/>
    <xf numFmtId="4" fontId="2" fillId="10" borderId="0" xfId="0" applyNumberFormat="1" applyFont="1" applyFill="1"/>
    <xf numFmtId="0" fontId="2" fillId="0" borderId="0" xfId="3" applyFont="1"/>
    <xf numFmtId="4" fontId="6" fillId="0" borderId="0" xfId="3" applyNumberFormat="1" applyFont="1" applyAlignment="1">
      <alignment horizontal="left"/>
    </xf>
    <xf numFmtId="4" fontId="5" fillId="0" borderId="0" xfId="3" applyNumberFormat="1" applyFont="1" applyAlignment="1">
      <alignment horizontal="center"/>
    </xf>
    <xf numFmtId="4" fontId="7" fillId="0" borderId="0" xfId="3" applyNumberFormat="1" applyFont="1" applyAlignment="1">
      <alignment horizontal="center" vertical="center"/>
    </xf>
    <xf numFmtId="4" fontId="5" fillId="0" borderId="0" xfId="3" applyNumberFormat="1" applyFont="1" applyAlignment="1">
      <alignment horizontal="right"/>
    </xf>
    <xf numFmtId="4" fontId="20" fillId="0" borderId="36" xfId="3" applyNumberFormat="1" applyFont="1" applyBorder="1" applyAlignment="1">
      <alignment horizontal="left"/>
    </xf>
    <xf numFmtId="4" fontId="20" fillId="0" borderId="36" xfId="3" applyNumberFormat="1" applyFont="1" applyBorder="1"/>
    <xf numFmtId="4" fontId="21" fillId="0" borderId="36" xfId="3" applyNumberFormat="1" applyFont="1" applyBorder="1" applyAlignment="1">
      <alignment vertical="center"/>
    </xf>
    <xf numFmtId="4" fontId="20" fillId="0" borderId="0" xfId="3" applyNumberFormat="1" applyFont="1"/>
    <xf numFmtId="4" fontId="5" fillId="0" borderId="36" xfId="3" applyNumberFormat="1" applyFont="1" applyBorder="1" applyAlignment="1">
      <alignment horizontal="center"/>
    </xf>
    <xf numFmtId="0" fontId="20" fillId="0" borderId="0" xfId="3" applyFont="1"/>
    <xf numFmtId="4" fontId="5" fillId="0" borderId="1" xfId="6" applyNumberFormat="1" applyFont="1" applyBorder="1" applyAlignment="1">
      <alignment horizontal="left"/>
    </xf>
    <xf numFmtId="4" fontId="5" fillId="7" borderId="2" xfId="3" applyNumberFormat="1" applyFont="1" applyFill="1" applyBorder="1" applyAlignment="1">
      <alignment horizontal="center"/>
    </xf>
    <xf numFmtId="4" fontId="5" fillId="7" borderId="16" xfId="3" applyNumberFormat="1" applyFont="1" applyFill="1" applyBorder="1" applyAlignment="1">
      <alignment horizontal="center"/>
    </xf>
    <xf numFmtId="4" fontId="5" fillId="7" borderId="2" xfId="4" applyNumberFormat="1" applyFont="1" applyFill="1" applyBorder="1" applyAlignment="1">
      <alignment horizontal="center" wrapText="1"/>
    </xf>
    <xf numFmtId="4" fontId="7" fillId="7" borderId="2" xfId="3" applyNumberFormat="1" applyFont="1" applyFill="1" applyBorder="1" applyAlignment="1">
      <alignment horizontal="center" vertical="center" wrapText="1"/>
    </xf>
    <xf numFmtId="4" fontId="7" fillId="7" borderId="16" xfId="3" applyNumberFormat="1" applyFont="1" applyFill="1" applyBorder="1" applyAlignment="1">
      <alignment horizontal="center" wrapText="1"/>
    </xf>
    <xf numFmtId="4" fontId="7" fillId="2" borderId="2" xfId="3" applyNumberFormat="1" applyFont="1" applyFill="1" applyBorder="1" applyAlignment="1">
      <alignment horizontal="center" wrapText="1"/>
    </xf>
    <xf numFmtId="4" fontId="5" fillId="0" borderId="13" xfId="6" applyNumberFormat="1" applyFont="1" applyBorder="1" applyAlignment="1">
      <alignment horizontal="left"/>
    </xf>
    <xf numFmtId="4" fontId="5" fillId="2" borderId="14" xfId="1" applyNumberFormat="1" applyFont="1" applyFill="1" applyBorder="1" applyAlignment="1">
      <alignment horizontal="right" vertical="center"/>
    </xf>
    <xf numFmtId="4" fontId="5" fillId="2" borderId="36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 applyAlignment="1">
      <alignment horizontal="right" vertical="center"/>
    </xf>
    <xf numFmtId="4" fontId="7" fillId="2" borderId="14" xfId="1" applyNumberFormat="1" applyFont="1" applyFill="1" applyBorder="1" applyAlignment="1">
      <alignment horizontal="right" vertical="center"/>
    </xf>
    <xf numFmtId="4" fontId="5" fillId="0" borderId="1" xfId="3" applyNumberFormat="1" applyFont="1" applyBorder="1" applyAlignment="1">
      <alignment horizontal="center"/>
    </xf>
    <xf numFmtId="4" fontId="5" fillId="2" borderId="16" xfId="1" applyNumberFormat="1" applyFont="1" applyFill="1" applyBorder="1" applyAlignment="1">
      <alignment horizontal="right" vertical="center"/>
    </xf>
    <xf numFmtId="4" fontId="7" fillId="2" borderId="2" xfId="1" applyNumberFormat="1" applyFont="1" applyFill="1" applyBorder="1" applyAlignment="1">
      <alignment horizontal="right" vertical="center"/>
    </xf>
    <xf numFmtId="4" fontId="5" fillId="2" borderId="1" xfId="3" applyNumberFormat="1" applyFont="1" applyFill="1" applyBorder="1" applyAlignment="1">
      <alignment horizontal="left" vertical="center" wrapText="1"/>
    </xf>
    <xf numFmtId="4" fontId="2" fillId="0" borderId="10" xfId="3" applyNumberFormat="1" applyFont="1" applyBorder="1" applyAlignment="1">
      <alignment horizontal="left" vertical="center" wrapText="1"/>
    </xf>
    <xf numFmtId="4" fontId="2" fillId="3" borderId="2" xfId="1" applyNumberFormat="1" applyFont="1" applyFill="1" applyBorder="1" applyAlignment="1">
      <alignment horizontal="right" vertical="center"/>
    </xf>
    <xf numFmtId="4" fontId="2" fillId="3" borderId="16" xfId="1" applyNumberFormat="1" applyFont="1" applyFill="1" applyBorder="1" applyAlignment="1">
      <alignment horizontal="right" vertical="center"/>
    </xf>
    <xf numFmtId="4" fontId="7" fillId="3" borderId="2" xfId="1" applyNumberFormat="1" applyFont="1" applyFill="1" applyBorder="1" applyAlignment="1">
      <alignment horizontal="right" vertical="center"/>
    </xf>
    <xf numFmtId="4" fontId="5" fillId="13" borderId="1" xfId="3" applyNumberFormat="1" applyFont="1" applyFill="1" applyBorder="1" applyAlignment="1">
      <alignment horizontal="left" vertical="center" wrapText="1"/>
    </xf>
    <xf numFmtId="4" fontId="5" fillId="13" borderId="2" xfId="1" applyNumberFormat="1" applyFont="1" applyFill="1" applyBorder="1" applyAlignment="1">
      <alignment horizontal="right" vertical="center"/>
    </xf>
    <xf numFmtId="4" fontId="5" fillId="13" borderId="16" xfId="1" applyNumberFormat="1" applyFont="1" applyFill="1" applyBorder="1" applyAlignment="1">
      <alignment horizontal="right" vertical="center"/>
    </xf>
    <xf numFmtId="4" fontId="7" fillId="13" borderId="2" xfId="1" applyNumberFormat="1" applyFont="1" applyFill="1" applyBorder="1" applyAlignment="1">
      <alignment horizontal="right" vertical="center"/>
    </xf>
    <xf numFmtId="4" fontId="5" fillId="5" borderId="7" xfId="3" applyNumberFormat="1" applyFont="1" applyFill="1" applyBorder="1" applyAlignment="1">
      <alignment horizontal="left" vertical="center" wrapText="1"/>
    </xf>
    <xf numFmtId="4" fontId="5" fillId="5" borderId="8" xfId="1" applyNumberFormat="1" applyFont="1" applyFill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7" fillId="5" borderId="8" xfId="1" applyNumberFormat="1" applyFont="1" applyFill="1" applyBorder="1" applyAlignment="1">
      <alignment horizontal="right" vertical="center" wrapText="1"/>
    </xf>
    <xf numFmtId="4" fontId="5" fillId="6" borderId="1" xfId="3" applyNumberFormat="1" applyFont="1" applyFill="1" applyBorder="1" applyAlignment="1">
      <alignment horizontal="left" vertical="center" wrapText="1"/>
    </xf>
    <xf numFmtId="4" fontId="5" fillId="6" borderId="2" xfId="1" applyNumberFormat="1" applyFont="1" applyFill="1" applyBorder="1" applyAlignment="1">
      <alignment horizontal="right" vertical="center"/>
    </xf>
    <xf numFmtId="4" fontId="7" fillId="6" borderId="2" xfId="1" applyNumberFormat="1" applyFont="1" applyFill="1" applyBorder="1" applyAlignment="1">
      <alignment horizontal="right" vertical="center"/>
    </xf>
    <xf numFmtId="4" fontId="5" fillId="6" borderId="16" xfId="1" applyNumberFormat="1" applyFont="1" applyFill="1" applyBorder="1" applyAlignment="1">
      <alignment horizontal="right" vertical="center"/>
    </xf>
    <xf numFmtId="0" fontId="5" fillId="0" borderId="0" xfId="3" applyFont="1"/>
    <xf numFmtId="4" fontId="5" fillId="6" borderId="2" xfId="7" applyNumberFormat="1" applyFont="1" applyFill="1" applyBorder="1" applyAlignment="1">
      <alignment horizontal="right" vertical="center"/>
    </xf>
    <xf numFmtId="0" fontId="9" fillId="0" borderId="0" xfId="3" applyFont="1"/>
    <xf numFmtId="4" fontId="9" fillId="0" borderId="19" xfId="4" applyNumberFormat="1" applyFont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7" fillId="7" borderId="21" xfId="1" applyNumberFormat="1" applyFont="1" applyFill="1" applyBorder="1" applyAlignment="1">
      <alignment horizontal="right" vertical="center"/>
    </xf>
    <xf numFmtId="4" fontId="2" fillId="0" borderId="22" xfId="1" applyNumberFormat="1" applyFont="1" applyFill="1" applyBorder="1" applyAlignment="1">
      <alignment horizontal="right" vertical="center"/>
    </xf>
    <xf numFmtId="4" fontId="9" fillId="0" borderId="21" xfId="1" applyNumberFormat="1" applyFont="1" applyBorder="1" applyAlignment="1">
      <alignment horizontal="right" vertical="center"/>
    </xf>
    <xf numFmtId="4" fontId="9" fillId="0" borderId="21" xfId="1" applyNumberFormat="1" applyFont="1" applyFill="1" applyBorder="1" applyAlignment="1">
      <alignment horizontal="right" vertical="center"/>
    </xf>
    <xf numFmtId="0" fontId="9" fillId="7" borderId="0" xfId="3" applyFont="1" applyFill="1"/>
    <xf numFmtId="4" fontId="5" fillId="4" borderId="1" xfId="3" applyNumberFormat="1" applyFont="1" applyFill="1" applyBorder="1" applyAlignment="1">
      <alignment horizontal="left" vertical="center" wrapText="1"/>
    </xf>
    <xf numFmtId="4" fontId="5" fillId="4" borderId="16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" fontId="2" fillId="4" borderId="10" xfId="4" applyNumberFormat="1" applyFont="1" applyFill="1" applyBorder="1" applyAlignment="1">
      <alignment horizontal="left" vertical="center" wrapText="1"/>
    </xf>
    <xf numFmtId="4" fontId="2" fillId="4" borderId="8" xfId="7" applyNumberFormat="1" applyFont="1" applyFill="1" applyBorder="1" applyAlignment="1">
      <alignment horizontal="right" vertical="center"/>
    </xf>
    <xf numFmtId="4" fontId="2" fillId="4" borderId="8" xfId="1" applyNumberFormat="1" applyFont="1" applyFill="1" applyBorder="1" applyAlignment="1">
      <alignment horizontal="right" vertical="center"/>
    </xf>
    <xf numFmtId="4" fontId="9" fillId="4" borderId="8" xfId="1" applyNumberFormat="1" applyFont="1" applyFill="1" applyBorder="1" applyAlignment="1">
      <alignment horizontal="right" vertical="center"/>
    </xf>
    <xf numFmtId="4" fontId="2" fillId="4" borderId="28" xfId="1" applyNumberFormat="1" applyFont="1" applyFill="1" applyBorder="1" applyAlignment="1">
      <alignment horizontal="right" vertical="center"/>
    </xf>
    <xf numFmtId="0" fontId="23" fillId="0" borderId="0" xfId="3" applyFont="1"/>
    <xf numFmtId="4" fontId="9" fillId="0" borderId="39" xfId="4" applyNumberFormat="1" applyFont="1" applyBorder="1" applyAlignment="1">
      <alignment horizontal="left" vertical="center" wrapText="1"/>
    </xf>
    <xf numFmtId="4" fontId="2" fillId="0" borderId="24" xfId="1" applyNumberFormat="1" applyFont="1" applyFill="1" applyBorder="1" applyAlignment="1">
      <alignment horizontal="right" vertical="center"/>
    </xf>
    <xf numFmtId="4" fontId="2" fillId="0" borderId="25" xfId="1" applyNumberFormat="1" applyFont="1" applyFill="1" applyBorder="1" applyAlignment="1">
      <alignment horizontal="right" vertical="center"/>
    </xf>
    <xf numFmtId="4" fontId="9" fillId="0" borderId="24" xfId="1" applyNumberFormat="1" applyFont="1" applyBorder="1" applyAlignment="1">
      <alignment horizontal="right" vertical="center"/>
    </xf>
    <xf numFmtId="4" fontId="2" fillId="0" borderId="28" xfId="1" applyNumberFormat="1" applyFont="1" applyFill="1" applyBorder="1" applyAlignment="1">
      <alignment horizontal="right" vertical="center"/>
    </xf>
    <xf numFmtId="4" fontId="2" fillId="0" borderId="29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4" fontId="2" fillId="14" borderId="41" xfId="4" applyNumberFormat="1" applyFont="1" applyFill="1" applyBorder="1" applyAlignment="1">
      <alignment horizontal="left" vertical="center" wrapText="1"/>
    </xf>
    <xf numFmtId="4" fontId="2" fillId="14" borderId="21" xfId="1" applyNumberFormat="1" applyFont="1" applyFill="1" applyBorder="1" applyAlignment="1">
      <alignment horizontal="right" vertical="center"/>
    </xf>
    <xf numFmtId="4" fontId="7" fillId="8" borderId="21" xfId="1" applyNumberFormat="1" applyFont="1" applyFill="1" applyBorder="1" applyAlignment="1">
      <alignment horizontal="right" vertical="center"/>
    </xf>
    <xf numFmtId="0" fontId="2" fillId="7" borderId="0" xfId="3" applyFont="1" applyFill="1"/>
    <xf numFmtId="4" fontId="2" fillId="0" borderId="24" xfId="7" applyNumberFormat="1" applyFont="1" applyFill="1" applyBorder="1" applyAlignment="1">
      <alignment horizontal="right" vertical="center"/>
    </xf>
    <xf numFmtId="4" fontId="2" fillId="0" borderId="25" xfId="7" applyNumberFormat="1" applyFont="1" applyFill="1" applyBorder="1" applyAlignment="1">
      <alignment horizontal="right" vertical="center"/>
    </xf>
    <xf numFmtId="4" fontId="7" fillId="0" borderId="24" xfId="7" applyNumberFormat="1" applyFont="1" applyFill="1" applyBorder="1" applyAlignment="1">
      <alignment horizontal="right" vertical="center"/>
    </xf>
    <xf numFmtId="4" fontId="2" fillId="0" borderId="21" xfId="7" applyNumberFormat="1" applyFont="1" applyFill="1" applyBorder="1" applyAlignment="1">
      <alignment horizontal="right" vertical="center"/>
    </xf>
    <xf numFmtId="4" fontId="2" fillId="0" borderId="22" xfId="7" applyNumberFormat="1" applyFont="1" applyFill="1" applyBorder="1" applyAlignment="1">
      <alignment horizontal="right" vertical="center"/>
    </xf>
    <xf numFmtId="4" fontId="7" fillId="0" borderId="21" xfId="7" applyNumberFormat="1" applyFont="1" applyFill="1" applyBorder="1" applyAlignment="1">
      <alignment horizontal="right" vertical="center"/>
    </xf>
    <xf numFmtId="4" fontId="24" fillId="0" borderId="19" xfId="4" applyNumberFormat="1" applyFont="1" applyBorder="1" applyAlignment="1">
      <alignment horizontal="left" vertical="center" wrapText="1"/>
    </xf>
    <xf numFmtId="4" fontId="7" fillId="11" borderId="21" xfId="1" applyNumberFormat="1" applyFont="1" applyFill="1" applyBorder="1" applyAlignment="1">
      <alignment horizontal="right" vertical="center"/>
    </xf>
    <xf numFmtId="4" fontId="9" fillId="0" borderId="25" xfId="1" applyNumberFormat="1" applyFont="1" applyBorder="1" applyAlignment="1">
      <alignment horizontal="right" vertical="center"/>
    </xf>
    <xf numFmtId="4" fontId="7" fillId="0" borderId="24" xfId="1" applyNumberFormat="1" applyFont="1" applyFill="1" applyBorder="1" applyAlignment="1">
      <alignment horizontal="right" vertical="center"/>
    </xf>
    <xf numFmtId="0" fontId="2" fillId="7" borderId="25" xfId="3" applyFont="1" applyFill="1" applyBorder="1"/>
    <xf numFmtId="4" fontId="9" fillId="0" borderId="39" xfId="4" applyNumberFormat="1" applyFont="1" applyBorder="1" applyAlignment="1">
      <alignment vertical="center" wrapText="1"/>
    </xf>
    <xf numFmtId="4" fontId="9" fillId="0" borderId="24" xfId="1" applyNumberFormat="1" applyFont="1" applyFill="1" applyBorder="1" applyAlignment="1">
      <alignment horizontal="right" vertical="center"/>
    </xf>
    <xf numFmtId="4" fontId="9" fillId="0" borderId="30" xfId="4" applyNumberFormat="1" applyFont="1" applyBorder="1" applyAlignment="1">
      <alignment vertical="center" wrapText="1"/>
    </xf>
    <xf numFmtId="4" fontId="7" fillId="0" borderId="21" xfId="1" applyNumberFormat="1" applyFont="1" applyFill="1" applyBorder="1" applyAlignment="1">
      <alignment horizontal="right" vertical="center"/>
    </xf>
    <xf numFmtId="4" fontId="9" fillId="0" borderId="19" xfId="4" applyNumberFormat="1" applyFont="1" applyBorder="1" applyAlignment="1">
      <alignment vertical="center" wrapText="1"/>
    </xf>
    <xf numFmtId="4" fontId="9" fillId="0" borderId="19" xfId="4" applyNumberFormat="1" applyFont="1" applyBorder="1" applyAlignment="1">
      <alignment horizontal="left" vertical="center"/>
    </xf>
    <xf numFmtId="4" fontId="9" fillId="0" borderId="22" xfId="1" applyNumberFormat="1" applyFont="1" applyBorder="1" applyAlignment="1">
      <alignment horizontal="right" vertical="center"/>
    </xf>
    <xf numFmtId="4" fontId="9" fillId="7" borderId="25" xfId="1" applyNumberFormat="1" applyFont="1" applyFill="1" applyBorder="1" applyAlignment="1">
      <alignment horizontal="right" vertical="center"/>
    </xf>
    <xf numFmtId="4" fontId="9" fillId="7" borderId="19" xfId="4" applyNumberFormat="1" applyFont="1" applyFill="1" applyBorder="1" applyAlignment="1">
      <alignment horizontal="left" vertical="center"/>
    </xf>
    <xf numFmtId="4" fontId="9" fillId="0" borderId="14" xfId="1" applyNumberFormat="1" applyFont="1" applyFill="1" applyBorder="1" applyAlignment="1">
      <alignment horizontal="right" vertical="center"/>
    </xf>
    <xf numFmtId="4" fontId="9" fillId="7" borderId="36" xfId="1" applyNumberFormat="1" applyFont="1" applyFill="1" applyBorder="1" applyAlignment="1">
      <alignment horizontal="right" vertical="center"/>
    </xf>
    <xf numFmtId="4" fontId="5" fillId="5" borderId="2" xfId="1" applyNumberFormat="1" applyFont="1" applyFill="1" applyBorder="1" applyAlignment="1">
      <alignment horizontal="right" vertical="center"/>
    </xf>
    <xf numFmtId="4" fontId="5" fillId="5" borderId="16" xfId="1" applyNumberFormat="1" applyFont="1" applyFill="1" applyBorder="1" applyAlignment="1">
      <alignment horizontal="right" vertical="center"/>
    </xf>
    <xf numFmtId="4" fontId="7" fillId="5" borderId="2" xfId="1" applyNumberFormat="1" applyFont="1" applyFill="1" applyBorder="1" applyAlignment="1">
      <alignment horizontal="right" vertical="center"/>
    </xf>
    <xf numFmtId="4" fontId="5" fillId="0" borderId="2" xfId="7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4" fontId="9" fillId="0" borderId="21" xfId="7" applyNumberFormat="1" applyFont="1" applyFill="1" applyBorder="1" applyAlignment="1">
      <alignment horizontal="right" vertical="center"/>
    </xf>
    <xf numFmtId="4" fontId="9" fillId="0" borderId="24" xfId="7" applyNumberFormat="1" applyFont="1" applyFill="1" applyBorder="1" applyAlignment="1">
      <alignment horizontal="right" vertical="center"/>
    </xf>
    <xf numFmtId="4" fontId="5" fillId="15" borderId="2" xfId="1" applyNumberFormat="1" applyFont="1" applyFill="1" applyBorder="1" applyAlignment="1">
      <alignment horizontal="right" vertical="center"/>
    </xf>
    <xf numFmtId="4" fontId="7" fillId="15" borderId="2" xfId="1" applyNumberFormat="1" applyFont="1" applyFill="1" applyBorder="1" applyAlignment="1">
      <alignment horizontal="right" vertical="center"/>
    </xf>
    <xf numFmtId="4" fontId="5" fillId="15" borderId="16" xfId="1" applyNumberFormat="1" applyFont="1" applyFill="1" applyBorder="1" applyAlignment="1">
      <alignment horizontal="right" vertical="center"/>
    </xf>
    <xf numFmtId="4" fontId="5" fillId="16" borderId="21" xfId="1" applyNumberFormat="1" applyFont="1" applyFill="1" applyBorder="1" applyAlignment="1">
      <alignment horizontal="right" vertical="center"/>
    </xf>
    <xf numFmtId="4" fontId="7" fillId="16" borderId="21" xfId="1" applyNumberFormat="1" applyFont="1" applyFill="1" applyBorder="1" applyAlignment="1">
      <alignment horizontal="right" vertical="center"/>
    </xf>
    <xf numFmtId="4" fontId="5" fillId="16" borderId="9" xfId="1" applyNumberFormat="1" applyFont="1" applyFill="1" applyBorder="1" applyAlignment="1">
      <alignment horizontal="right" vertical="center"/>
    </xf>
    <xf numFmtId="4" fontId="5" fillId="16" borderId="0" xfId="1" applyNumberFormat="1" applyFont="1" applyFill="1" applyBorder="1" applyAlignment="1">
      <alignment horizontal="right" vertical="center"/>
    </xf>
    <xf numFmtId="4" fontId="7" fillId="16" borderId="9" xfId="1" applyNumberFormat="1" applyFont="1" applyFill="1" applyBorder="1" applyAlignment="1">
      <alignment horizontal="right" vertical="center"/>
    </xf>
    <xf numFmtId="4" fontId="7" fillId="0" borderId="9" xfId="1" applyNumberFormat="1" applyFont="1" applyFill="1" applyBorder="1" applyAlignment="1">
      <alignment horizontal="right" vertical="center"/>
    </xf>
    <xf numFmtId="4" fontId="5" fillId="5" borderId="2" xfId="1" applyNumberFormat="1" applyFont="1" applyFill="1" applyBorder="1" applyAlignment="1">
      <alignment horizontal="right" vertical="center" wrapText="1"/>
    </xf>
    <xf numFmtId="4" fontId="5" fillId="5" borderId="16" xfId="1" applyNumberFormat="1" applyFont="1" applyFill="1" applyBorder="1" applyAlignment="1">
      <alignment horizontal="right" vertical="center" wrapText="1"/>
    </xf>
    <xf numFmtId="4" fontId="2" fillId="0" borderId="4" xfId="1" applyNumberFormat="1" applyFont="1" applyFill="1" applyBorder="1" applyAlignment="1">
      <alignment horizontal="right" vertical="center"/>
    </xf>
    <xf numFmtId="4" fontId="5" fillId="17" borderId="2" xfId="1" applyNumberFormat="1" applyFont="1" applyFill="1" applyBorder="1" applyAlignment="1">
      <alignment horizontal="right" vertical="center"/>
    </xf>
    <xf numFmtId="4" fontId="5" fillId="17" borderId="16" xfId="1" applyNumberFormat="1" applyFont="1" applyFill="1" applyBorder="1" applyAlignment="1">
      <alignment horizontal="right" vertical="center"/>
    </xf>
    <xf numFmtId="4" fontId="7" fillId="17" borderId="2" xfId="1" applyNumberFormat="1" applyFont="1" applyFill="1" applyBorder="1" applyAlignment="1">
      <alignment horizontal="right" vertical="center"/>
    </xf>
    <xf numFmtId="4" fontId="5" fillId="19" borderId="2" xfId="1" applyNumberFormat="1" applyFont="1" applyFill="1" applyBorder="1" applyAlignment="1">
      <alignment horizontal="right" vertical="center" wrapText="1"/>
    </xf>
    <xf numFmtId="4" fontId="5" fillId="19" borderId="16" xfId="1" applyNumberFormat="1" applyFont="1" applyFill="1" applyBorder="1" applyAlignment="1">
      <alignment horizontal="right" vertical="center" wrapText="1"/>
    </xf>
    <xf numFmtId="4" fontId="7" fillId="19" borderId="2" xfId="7" applyNumberFormat="1" applyFont="1" applyFill="1" applyBorder="1" applyAlignment="1">
      <alignment horizontal="right" vertical="center" wrapText="1"/>
    </xf>
    <xf numFmtId="4" fontId="2" fillId="6" borderId="19" xfId="4" applyNumberFormat="1" applyFont="1" applyFill="1" applyBorder="1" applyAlignment="1">
      <alignment horizontal="left" vertical="center" wrapText="1"/>
    </xf>
    <xf numFmtId="4" fontId="2" fillId="6" borderId="24" xfId="1" applyNumberFormat="1" applyFont="1" applyFill="1" applyBorder="1" applyAlignment="1">
      <alignment horizontal="right" vertical="center"/>
    </xf>
    <xf numFmtId="4" fontId="2" fillId="6" borderId="25" xfId="1" applyNumberFormat="1" applyFont="1" applyFill="1" applyBorder="1" applyAlignment="1">
      <alignment horizontal="right" vertical="center"/>
    </xf>
    <xf numFmtId="4" fontId="2" fillId="6" borderId="21" xfId="1" applyNumberFormat="1" applyFont="1" applyFill="1" applyBorder="1" applyAlignment="1">
      <alignment horizontal="right" vertical="center"/>
    </xf>
    <xf numFmtId="4" fontId="7" fillId="6" borderId="21" xfId="7" applyNumberFormat="1" applyFont="1" applyFill="1" applyBorder="1" applyAlignment="1">
      <alignment horizontal="right" vertical="center"/>
    </xf>
    <xf numFmtId="4" fontId="2" fillId="20" borderId="24" xfId="1" applyNumberFormat="1" applyFont="1" applyFill="1" applyBorder="1" applyAlignment="1">
      <alignment horizontal="right" vertical="center"/>
    </xf>
    <xf numFmtId="4" fontId="2" fillId="20" borderId="25" xfId="1" applyNumberFormat="1" applyFont="1" applyFill="1" applyBorder="1" applyAlignment="1">
      <alignment horizontal="right" vertical="center"/>
    </xf>
    <xf numFmtId="4" fontId="9" fillId="20" borderId="25" xfId="1" applyNumberFormat="1" applyFont="1" applyFill="1" applyBorder="1" applyAlignment="1">
      <alignment horizontal="right" vertical="center"/>
    </xf>
    <xf numFmtId="4" fontId="2" fillId="21" borderId="24" xfId="1" applyNumberFormat="1" applyFont="1" applyFill="1" applyBorder="1" applyAlignment="1">
      <alignment horizontal="right" vertical="center"/>
    </xf>
    <xf numFmtId="4" fontId="2" fillId="21" borderId="25" xfId="1" applyNumberFormat="1" applyFont="1" applyFill="1" applyBorder="1" applyAlignment="1">
      <alignment horizontal="right" vertical="center"/>
    </xf>
    <xf numFmtId="4" fontId="2" fillId="21" borderId="21" xfId="1" applyNumberFormat="1" applyFont="1" applyFill="1" applyBorder="1" applyAlignment="1">
      <alignment horizontal="right" vertical="center"/>
    </xf>
    <xf numFmtId="4" fontId="7" fillId="22" borderId="21" xfId="7" applyNumberFormat="1" applyFont="1" applyFill="1" applyBorder="1" applyAlignment="1">
      <alignment horizontal="right" vertical="center"/>
    </xf>
    <xf numFmtId="4" fontId="2" fillId="22" borderId="24" xfId="1" applyNumberFormat="1" applyFont="1" applyFill="1" applyBorder="1" applyAlignment="1">
      <alignment horizontal="right" vertical="center"/>
    </xf>
    <xf numFmtId="4" fontId="2" fillId="22" borderId="25" xfId="1" applyNumberFormat="1" applyFont="1" applyFill="1" applyBorder="1" applyAlignment="1">
      <alignment horizontal="right" vertical="center"/>
    </xf>
    <xf numFmtId="4" fontId="9" fillId="22" borderId="25" xfId="1" applyNumberFormat="1" applyFont="1" applyFill="1" applyBorder="1" applyAlignment="1">
      <alignment horizontal="right" vertical="center"/>
    </xf>
    <xf numFmtId="4" fontId="2" fillId="23" borderId="30" xfId="4" applyNumberFormat="1" applyFont="1" applyFill="1" applyBorder="1" applyAlignment="1">
      <alignment horizontal="left" vertical="center" wrapText="1"/>
    </xf>
    <xf numFmtId="4" fontId="2" fillId="23" borderId="24" xfId="1" applyNumberFormat="1" applyFont="1" applyFill="1" applyBorder="1" applyAlignment="1">
      <alignment horizontal="right" vertical="center"/>
    </xf>
    <xf numFmtId="4" fontId="2" fillId="23" borderId="25" xfId="1" applyNumberFormat="1" applyFont="1" applyFill="1" applyBorder="1" applyAlignment="1">
      <alignment horizontal="right" vertical="center"/>
    </xf>
    <xf numFmtId="4" fontId="2" fillId="23" borderId="21" xfId="1" applyNumberFormat="1" applyFont="1" applyFill="1" applyBorder="1" applyAlignment="1">
      <alignment horizontal="right" vertical="center"/>
    </xf>
    <xf numFmtId="4" fontId="9" fillId="23" borderId="25" xfId="1" applyNumberFormat="1" applyFont="1" applyFill="1" applyBorder="1" applyAlignment="1">
      <alignment horizontal="right" vertical="center"/>
    </xf>
    <xf numFmtId="4" fontId="7" fillId="24" borderId="21" xfId="7" applyNumberFormat="1" applyFont="1" applyFill="1" applyBorder="1" applyAlignment="1">
      <alignment horizontal="right" vertical="center"/>
    </xf>
    <xf numFmtId="4" fontId="2" fillId="24" borderId="24" xfId="1" applyNumberFormat="1" applyFont="1" applyFill="1" applyBorder="1" applyAlignment="1">
      <alignment horizontal="right" vertical="center"/>
    </xf>
    <xf numFmtId="4" fontId="2" fillId="24" borderId="25" xfId="1" applyNumberFormat="1" applyFont="1" applyFill="1" applyBorder="1" applyAlignment="1">
      <alignment horizontal="right" vertical="center"/>
    </xf>
    <xf numFmtId="4" fontId="9" fillId="24" borderId="25" xfId="1" applyNumberFormat="1" applyFont="1" applyFill="1" applyBorder="1" applyAlignment="1">
      <alignment horizontal="right" vertical="center"/>
    </xf>
    <xf numFmtId="4" fontId="2" fillId="2" borderId="30" xfId="4" applyNumberFormat="1" applyFont="1" applyFill="1" applyBorder="1" applyAlignment="1">
      <alignment horizontal="left" vertical="center" wrapText="1"/>
    </xf>
    <xf numFmtId="4" fontId="9" fillId="0" borderId="25" xfId="1" applyNumberFormat="1" applyFont="1" applyFill="1" applyBorder="1" applyAlignment="1">
      <alignment horizontal="right" vertical="center"/>
    </xf>
    <xf numFmtId="4" fontId="2" fillId="0" borderId="42" xfId="4" applyNumberFormat="1" applyFont="1" applyBorder="1" applyAlignment="1">
      <alignment horizontal="left" vertical="center" wrapText="1"/>
    </xf>
    <xf numFmtId="0" fontId="2" fillId="0" borderId="29" xfId="3" applyFont="1" applyBorder="1"/>
    <xf numFmtId="0" fontId="2" fillId="0" borderId="28" xfId="3" applyFont="1" applyBorder="1"/>
    <xf numFmtId="4" fontId="7" fillId="0" borderId="28" xfId="1" applyNumberFormat="1" applyFont="1" applyFill="1" applyBorder="1" applyAlignment="1">
      <alignment horizontal="right" vertical="center"/>
    </xf>
    <xf numFmtId="4" fontId="2" fillId="0" borderId="9" xfId="3" applyNumberFormat="1" applyFont="1" applyBorder="1"/>
    <xf numFmtId="4" fontId="9" fillId="0" borderId="29" xfId="1" applyNumberFormat="1" applyFont="1" applyFill="1" applyBorder="1" applyAlignment="1">
      <alignment horizontal="right" vertical="center"/>
    </xf>
    <xf numFmtId="0" fontId="2" fillId="0" borderId="12" xfId="3" applyFont="1" applyBorder="1"/>
    <xf numFmtId="4" fontId="2" fillId="0" borderId="39" xfId="4" applyNumberFormat="1" applyFont="1" applyBorder="1" applyAlignment="1">
      <alignment horizontal="left" vertical="center" wrapText="1"/>
    </xf>
    <xf numFmtId="4" fontId="2" fillId="0" borderId="24" xfId="5" applyNumberFormat="1" applyFont="1" applyBorder="1"/>
    <xf numFmtId="4" fontId="2" fillId="0" borderId="24" xfId="5" applyNumberFormat="1" applyFont="1" applyBorder="1" applyAlignment="1">
      <alignment wrapText="1"/>
    </xf>
    <xf numFmtId="4" fontId="9" fillId="0" borderId="0" xfId="1" applyNumberFormat="1" applyFont="1" applyFill="1" applyBorder="1" applyAlignment="1">
      <alignment horizontal="right" vertical="center"/>
    </xf>
    <xf numFmtId="4" fontId="5" fillId="24" borderId="1" xfId="3" applyNumberFormat="1" applyFont="1" applyFill="1" applyBorder="1"/>
    <xf numFmtId="4" fontId="5" fillId="2" borderId="10" xfId="3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0" fontId="2" fillId="2" borderId="0" xfId="3" applyFont="1" applyFill="1"/>
    <xf numFmtId="4" fontId="5" fillId="25" borderId="1" xfId="3" applyNumberFormat="1" applyFont="1" applyFill="1" applyBorder="1" applyAlignment="1">
      <alignment horizontal="left" vertical="center" wrapText="1"/>
    </xf>
    <xf numFmtId="4" fontId="5" fillId="25" borderId="2" xfId="1" applyNumberFormat="1" applyFont="1" applyFill="1" applyBorder="1" applyAlignment="1">
      <alignment horizontal="right" vertical="center"/>
    </xf>
    <xf numFmtId="4" fontId="5" fillId="25" borderId="16" xfId="1" applyNumberFormat="1" applyFont="1" applyFill="1" applyBorder="1" applyAlignment="1">
      <alignment horizontal="right" vertical="center"/>
    </xf>
    <xf numFmtId="4" fontId="7" fillId="25" borderId="2" xfId="1" applyNumberFormat="1" applyFont="1" applyFill="1" applyBorder="1" applyAlignment="1">
      <alignment horizontal="right" vertical="center"/>
    </xf>
    <xf numFmtId="4" fontId="5" fillId="11" borderId="1" xfId="3" applyNumberFormat="1" applyFont="1" applyFill="1" applyBorder="1" applyAlignment="1">
      <alignment horizontal="left" vertical="center" wrapText="1"/>
    </xf>
    <xf numFmtId="4" fontId="5" fillId="11" borderId="2" xfId="1" applyNumberFormat="1" applyFont="1" applyFill="1" applyBorder="1" applyAlignment="1">
      <alignment horizontal="right" vertical="center"/>
    </xf>
    <xf numFmtId="4" fontId="5" fillId="11" borderId="16" xfId="1" applyNumberFormat="1" applyFont="1" applyFill="1" applyBorder="1" applyAlignment="1">
      <alignment horizontal="right" vertical="center"/>
    </xf>
    <xf numFmtId="4" fontId="7" fillId="11" borderId="2" xfId="1" applyNumberFormat="1" applyFont="1" applyFill="1" applyBorder="1" applyAlignment="1">
      <alignment horizontal="right" vertical="center"/>
    </xf>
    <xf numFmtId="4" fontId="5" fillId="0" borderId="21" xfId="1" applyNumberFormat="1" applyFont="1" applyFill="1" applyBorder="1" applyAlignment="1">
      <alignment horizontal="right" vertical="center"/>
    </xf>
    <xf numFmtId="4" fontId="5" fillId="0" borderId="22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2" fillId="24" borderId="2" xfId="1" applyNumberFormat="1" applyFont="1" applyFill="1" applyBorder="1" applyAlignment="1">
      <alignment horizontal="right" vertical="center"/>
    </xf>
    <xf numFmtId="4" fontId="2" fillId="24" borderId="16" xfId="1" applyNumberFormat="1" applyFont="1" applyFill="1" applyBorder="1" applyAlignment="1">
      <alignment horizontal="right" vertical="center"/>
    </xf>
    <xf numFmtId="4" fontId="7" fillId="24" borderId="2" xfId="1" applyNumberFormat="1" applyFont="1" applyFill="1" applyBorder="1" applyAlignment="1">
      <alignment horizontal="right" vertical="center"/>
    </xf>
    <xf numFmtId="4" fontId="5" fillId="24" borderId="1" xfId="3" applyNumberFormat="1" applyFont="1" applyFill="1" applyBorder="1" applyAlignment="1">
      <alignment horizontal="left" vertical="center" wrapText="1"/>
    </xf>
    <xf numFmtId="4" fontId="2" fillId="24" borderId="33" xfId="1" applyNumberFormat="1" applyFont="1" applyFill="1" applyBorder="1"/>
    <xf numFmtId="4" fontId="2" fillId="24" borderId="34" xfId="1" applyNumberFormat="1" applyFont="1" applyFill="1" applyBorder="1"/>
    <xf numFmtId="4" fontId="7" fillId="24" borderId="33" xfId="1" applyNumberFormat="1" applyFont="1" applyFill="1" applyBorder="1" applyAlignment="1">
      <alignment vertical="center"/>
    </xf>
    <xf numFmtId="4" fontId="2" fillId="0" borderId="19" xfId="3" applyNumberFormat="1" applyFont="1" applyBorder="1" applyAlignment="1">
      <alignment horizontal="left" vertical="center" wrapText="1"/>
    </xf>
    <xf numFmtId="4" fontId="2" fillId="2" borderId="21" xfId="1" applyNumberFormat="1" applyFont="1" applyFill="1" applyBorder="1"/>
    <xf numFmtId="4" fontId="2" fillId="2" borderId="23" xfId="1" applyNumberFormat="1" applyFont="1" applyFill="1" applyBorder="1"/>
    <xf numFmtId="4" fontId="2" fillId="2" borderId="22" xfId="1" applyNumberFormat="1" applyFont="1" applyFill="1" applyBorder="1"/>
    <xf numFmtId="4" fontId="7" fillId="2" borderId="23" xfId="1" applyNumberFormat="1" applyFont="1" applyFill="1" applyBorder="1" applyAlignment="1">
      <alignment vertical="center"/>
    </xf>
    <xf numFmtId="4" fontId="2" fillId="2" borderId="19" xfId="1" applyNumberFormat="1" applyFont="1" applyFill="1" applyBorder="1"/>
    <xf numFmtId="4" fontId="2" fillId="7" borderId="21" xfId="1" applyNumberFormat="1" applyFont="1" applyFill="1" applyBorder="1"/>
    <xf numFmtId="4" fontId="5" fillId="0" borderId="23" xfId="1" applyNumberFormat="1" applyFont="1" applyFill="1" applyBorder="1"/>
    <xf numFmtId="4" fontId="2" fillId="0" borderId="30" xfId="3" applyNumberFormat="1" applyFont="1" applyBorder="1" applyAlignment="1">
      <alignment horizontal="left" vertical="center" wrapText="1"/>
    </xf>
    <xf numFmtId="4" fontId="2" fillId="0" borderId="9" xfId="1" applyNumberFormat="1" applyFont="1" applyFill="1" applyBorder="1"/>
    <xf numFmtId="4" fontId="2" fillId="0" borderId="11" xfId="1" applyNumberFormat="1" applyFont="1" applyFill="1" applyBorder="1"/>
    <xf numFmtId="4" fontId="2" fillId="0" borderId="0" xfId="1" applyNumberFormat="1" applyFont="1" applyFill="1" applyBorder="1"/>
    <xf numFmtId="4" fontId="2" fillId="2" borderId="25" xfId="1" applyNumberFormat="1" applyFont="1" applyFill="1" applyBorder="1"/>
    <xf numFmtId="4" fontId="7" fillId="2" borderId="31" xfId="1" applyNumberFormat="1" applyFont="1" applyFill="1" applyBorder="1" applyAlignment="1">
      <alignment vertical="center"/>
    </xf>
    <xf numFmtId="4" fontId="2" fillId="2" borderId="24" xfId="1" applyNumberFormat="1" applyFont="1" applyFill="1" applyBorder="1"/>
    <xf numFmtId="4" fontId="2" fillId="2" borderId="30" xfId="1" applyNumberFormat="1" applyFont="1" applyFill="1" applyBorder="1"/>
    <xf numFmtId="4" fontId="5" fillId="2" borderId="31" xfId="1" applyNumberFormat="1" applyFont="1" applyFill="1" applyBorder="1"/>
    <xf numFmtId="4" fontId="2" fillId="4" borderId="30" xfId="3" applyNumberFormat="1" applyFont="1" applyFill="1" applyBorder="1" applyAlignment="1">
      <alignment horizontal="left" vertical="center" wrapText="1"/>
    </xf>
    <xf numFmtId="4" fontId="2" fillId="26" borderId="24" xfId="1" applyNumberFormat="1" applyFont="1" applyFill="1" applyBorder="1"/>
    <xf numFmtId="4" fontId="2" fillId="26" borderId="31" xfId="1" applyNumberFormat="1" applyFont="1" applyFill="1" applyBorder="1"/>
    <xf numFmtId="4" fontId="2" fillId="4" borderId="25" xfId="1" applyNumberFormat="1" applyFont="1" applyFill="1" applyBorder="1"/>
    <xf numFmtId="4" fontId="2" fillId="4" borderId="24" xfId="1" applyNumberFormat="1" applyFont="1" applyFill="1" applyBorder="1"/>
    <xf numFmtId="4" fontId="2" fillId="26" borderId="30" xfId="1" applyNumberFormat="1" applyFont="1" applyFill="1" applyBorder="1"/>
    <xf numFmtId="4" fontId="2" fillId="26" borderId="28" xfId="1" applyNumberFormat="1" applyFont="1" applyFill="1" applyBorder="1"/>
    <xf numFmtId="4" fontId="5" fillId="26" borderId="26" xfId="1" applyNumberFormat="1" applyFont="1" applyFill="1" applyBorder="1"/>
    <xf numFmtId="4" fontId="2" fillId="2" borderId="33" xfId="1" applyNumberFormat="1" applyFont="1" applyFill="1" applyBorder="1"/>
    <xf numFmtId="4" fontId="2" fillId="2" borderId="31" xfId="1" applyNumberFormat="1" applyFont="1" applyFill="1" applyBorder="1"/>
    <xf numFmtId="4" fontId="2" fillId="2" borderId="28" xfId="1" applyNumberFormat="1" applyFont="1" applyFill="1" applyBorder="1"/>
    <xf numFmtId="4" fontId="5" fillId="2" borderId="26" xfId="1" applyNumberFormat="1" applyFont="1" applyFill="1" applyBorder="1"/>
    <xf numFmtId="4" fontId="5" fillId="3" borderId="32" xfId="3" applyNumberFormat="1" applyFont="1" applyFill="1" applyBorder="1"/>
    <xf numFmtId="4" fontId="2" fillId="3" borderId="14" xfId="1" applyNumberFormat="1" applyFont="1" applyFill="1" applyBorder="1"/>
    <xf numFmtId="4" fontId="2" fillId="3" borderId="35" xfId="1" applyNumberFormat="1" applyFont="1" applyFill="1" applyBorder="1"/>
    <xf numFmtId="4" fontId="2" fillId="3" borderId="34" xfId="1" applyNumberFormat="1" applyFont="1" applyFill="1" applyBorder="1"/>
    <xf numFmtId="4" fontId="2" fillId="3" borderId="33" xfId="1" applyNumberFormat="1" applyFont="1" applyFill="1" applyBorder="1"/>
    <xf numFmtId="4" fontId="2" fillId="3" borderId="15" xfId="1" applyNumberFormat="1" applyFont="1" applyFill="1" applyBorder="1"/>
    <xf numFmtId="4" fontId="7" fillId="3" borderId="15" xfId="1" applyNumberFormat="1" applyFont="1" applyFill="1" applyBorder="1" applyAlignment="1">
      <alignment vertical="center"/>
    </xf>
    <xf numFmtId="4" fontId="2" fillId="26" borderId="33" xfId="1" applyNumberFormat="1" applyFont="1" applyFill="1" applyBorder="1"/>
    <xf numFmtId="4" fontId="2" fillId="3" borderId="32" xfId="1" applyNumberFormat="1" applyFont="1" applyFill="1" applyBorder="1"/>
    <xf numFmtId="4" fontId="5" fillId="3" borderId="35" xfId="1" applyNumberFormat="1" applyFont="1" applyFill="1" applyBorder="1"/>
    <xf numFmtId="4" fontId="5" fillId="3" borderId="19" xfId="3" applyNumberFormat="1" applyFont="1" applyFill="1" applyBorder="1" applyAlignment="1">
      <alignment horizontal="left" vertical="center" wrapText="1"/>
    </xf>
    <xf numFmtId="4" fontId="7" fillId="3" borderId="14" xfId="1" applyNumberFormat="1" applyFont="1" applyFill="1" applyBorder="1" applyAlignment="1">
      <alignment vertical="center"/>
    </xf>
    <xf numFmtId="4" fontId="2" fillId="3" borderId="13" xfId="1" applyNumberFormat="1" applyFont="1" applyFill="1" applyBorder="1"/>
    <xf numFmtId="4" fontId="5" fillId="3" borderId="15" xfId="1" applyNumberFormat="1" applyFont="1" applyFill="1" applyBorder="1"/>
    <xf numFmtId="4" fontId="2" fillId="0" borderId="0" xfId="3" applyNumberFormat="1" applyFont="1"/>
    <xf numFmtId="4" fontId="7" fillId="20" borderId="21" xfId="1" applyNumberFormat="1" applyFont="1" applyFill="1" applyBorder="1" applyAlignment="1">
      <alignment horizontal="right" vertical="center"/>
    </xf>
    <xf numFmtId="4" fontId="2" fillId="20" borderId="19" xfId="4" applyNumberFormat="1" applyFont="1" applyFill="1" applyBorder="1" applyAlignment="1">
      <alignment horizontal="left" vertical="center" wrapText="1"/>
    </xf>
    <xf numFmtId="4" fontId="2" fillId="24" borderId="30" xfId="4" applyNumberFormat="1" applyFont="1" applyFill="1" applyBorder="1" applyAlignment="1">
      <alignment horizontal="left" vertical="center" wrapText="1"/>
    </xf>
    <xf numFmtId="4" fontId="5" fillId="4" borderId="8" xfId="1" applyNumberFormat="1" applyFont="1" applyFill="1" applyBorder="1" applyAlignment="1">
      <alignment horizontal="right" vertical="center"/>
    </xf>
    <xf numFmtId="4" fontId="2" fillId="27" borderId="30" xfId="4" applyNumberFormat="1" applyFont="1" applyFill="1" applyBorder="1" applyAlignment="1">
      <alignment horizontal="left" vertical="center" wrapText="1"/>
    </xf>
    <xf numFmtId="4" fontId="2" fillId="27" borderId="24" xfId="1" applyNumberFormat="1" applyFont="1" applyFill="1" applyBorder="1" applyAlignment="1">
      <alignment horizontal="right" vertical="center"/>
    </xf>
    <xf numFmtId="4" fontId="2" fillId="27" borderId="25" xfId="1" applyNumberFormat="1" applyFont="1" applyFill="1" applyBorder="1" applyAlignment="1">
      <alignment horizontal="right" vertical="center"/>
    </xf>
    <xf numFmtId="4" fontId="2" fillId="27" borderId="21" xfId="1" applyNumberFormat="1" applyFont="1" applyFill="1" applyBorder="1" applyAlignment="1">
      <alignment horizontal="right" vertical="center"/>
    </xf>
    <xf numFmtId="4" fontId="9" fillId="27" borderId="25" xfId="1" applyNumberFormat="1" applyFont="1" applyFill="1" applyBorder="1" applyAlignment="1">
      <alignment horizontal="right" vertical="center"/>
    </xf>
    <xf numFmtId="4" fontId="5" fillId="24" borderId="10" xfId="3" applyNumberFormat="1" applyFont="1" applyFill="1" applyBorder="1" applyAlignment="1">
      <alignment horizontal="left" vertical="center" wrapText="1"/>
    </xf>
    <xf numFmtId="4" fontId="2" fillId="24" borderId="9" xfId="1" applyNumberFormat="1" applyFont="1" applyFill="1" applyBorder="1" applyAlignment="1">
      <alignment horizontal="right" vertical="center"/>
    </xf>
    <xf numFmtId="4" fontId="2" fillId="24" borderId="0" xfId="1" applyNumberFormat="1" applyFont="1" applyFill="1" applyBorder="1" applyAlignment="1">
      <alignment horizontal="right" vertical="center"/>
    </xf>
    <xf numFmtId="4" fontId="5" fillId="24" borderId="21" xfId="1" applyNumberFormat="1" applyFont="1" applyFill="1" applyBorder="1" applyAlignment="1">
      <alignment horizontal="right" vertical="center"/>
    </xf>
    <xf numFmtId="0" fontId="2" fillId="0" borderId="21" xfId="2" applyFont="1" applyBorder="1" applyAlignment="1">
      <alignment wrapText="1"/>
    </xf>
    <xf numFmtId="0" fontId="2" fillId="0" borderId="23" xfId="2" applyFont="1" applyBorder="1" applyAlignment="1">
      <alignment horizontal="left"/>
    </xf>
    <xf numFmtId="0" fontId="2" fillId="7" borderId="24" xfId="2" applyFont="1" applyFill="1" applyBorder="1" applyAlignment="1">
      <alignment wrapText="1"/>
    </xf>
    <xf numFmtId="49" fontId="2" fillId="0" borderId="23" xfId="2" applyNumberFormat="1" applyFont="1" applyBorder="1" applyAlignment="1">
      <alignment horizontal="left"/>
    </xf>
    <xf numFmtId="4" fontId="10" fillId="0" borderId="26" xfId="2" applyNumberFormat="1" applyFont="1" applyBorder="1"/>
    <xf numFmtId="49" fontId="2" fillId="0" borderId="24" xfId="2" applyNumberFormat="1" applyFont="1" applyBorder="1"/>
    <xf numFmtId="4" fontId="5" fillId="4" borderId="17" xfId="1" applyNumberFormat="1" applyFont="1" applyFill="1" applyBorder="1" applyAlignment="1">
      <alignment horizontal="right" vertical="center"/>
    </xf>
    <xf numFmtId="4" fontId="7" fillId="30" borderId="21" xfId="7" applyNumberFormat="1" applyFont="1" applyFill="1" applyBorder="1" applyAlignment="1">
      <alignment horizontal="right" vertical="center"/>
    </xf>
    <xf numFmtId="4" fontId="2" fillId="30" borderId="19" xfId="4" applyNumberFormat="1" applyFont="1" applyFill="1" applyBorder="1" applyAlignment="1">
      <alignment horizontal="left" vertical="center" wrapText="1"/>
    </xf>
    <xf numFmtId="4" fontId="2" fillId="30" borderId="24" xfId="1" applyNumberFormat="1" applyFont="1" applyFill="1" applyBorder="1" applyAlignment="1">
      <alignment horizontal="right" vertical="center"/>
    </xf>
    <xf numFmtId="4" fontId="2" fillId="30" borderId="25" xfId="1" applyNumberFormat="1" applyFont="1" applyFill="1" applyBorder="1" applyAlignment="1">
      <alignment horizontal="right" vertical="center"/>
    </xf>
    <xf numFmtId="4" fontId="5" fillId="30" borderId="24" xfId="1" applyNumberFormat="1" applyFont="1" applyFill="1" applyBorder="1" applyAlignment="1">
      <alignment horizontal="right" vertical="center"/>
    </xf>
    <xf numFmtId="4" fontId="5" fillId="30" borderId="25" xfId="1" applyNumberFormat="1" applyFont="1" applyFill="1" applyBorder="1" applyAlignment="1">
      <alignment horizontal="right" vertical="center"/>
    </xf>
    <xf numFmtId="4" fontId="7" fillId="30" borderId="25" xfId="1" applyNumberFormat="1" applyFont="1" applyFill="1" applyBorder="1" applyAlignment="1">
      <alignment horizontal="right" vertical="center"/>
    </xf>
    <xf numFmtId="4" fontId="2" fillId="0" borderId="19" xfId="4" applyNumberFormat="1" applyFont="1" applyBorder="1" applyAlignment="1">
      <alignment horizontal="left" vertical="center" wrapText="1"/>
    </xf>
    <xf numFmtId="4" fontId="2" fillId="0" borderId="10" xfId="4" applyNumberFormat="1" applyFont="1" applyBorder="1" applyAlignment="1">
      <alignment horizontal="left" vertical="center" wrapText="1"/>
    </xf>
    <xf numFmtId="4" fontId="5" fillId="14" borderId="13" xfId="3" applyNumberFormat="1" applyFont="1" applyFill="1" applyBorder="1" applyAlignment="1">
      <alignment horizontal="left" vertical="center" wrapText="1"/>
    </xf>
    <xf numFmtId="4" fontId="5" fillId="8" borderId="14" xfId="1" applyNumberFormat="1" applyFont="1" applyFill="1" applyBorder="1" applyAlignment="1">
      <alignment horizontal="right" vertical="center"/>
    </xf>
    <xf numFmtId="4" fontId="5" fillId="8" borderId="36" xfId="1" applyNumberFormat="1" applyFont="1" applyFill="1" applyBorder="1" applyAlignment="1">
      <alignment horizontal="right" vertical="center"/>
    </xf>
    <xf numFmtId="4" fontId="7" fillId="8" borderId="14" xfId="1" applyNumberFormat="1" applyFont="1" applyFill="1" applyBorder="1" applyAlignment="1">
      <alignment horizontal="right" vertical="center"/>
    </xf>
    <xf numFmtId="3" fontId="2" fillId="0" borderId="30" xfId="4" applyNumberFormat="1" applyFont="1" applyBorder="1" applyAlignment="1">
      <alignment horizontal="left" vertical="center" wrapText="1"/>
    </xf>
    <xf numFmtId="4" fontId="2" fillId="0" borderId="39" xfId="3" applyNumberFormat="1" applyFont="1" applyBorder="1" applyAlignment="1">
      <alignment vertical="center" wrapText="1"/>
    </xf>
    <xf numFmtId="4" fontId="2" fillId="0" borderId="39" xfId="3" applyNumberFormat="1" applyFont="1" applyBorder="1" applyAlignment="1">
      <alignment horizontal="left" vertical="center" wrapText="1"/>
    </xf>
    <xf numFmtId="4" fontId="2" fillId="0" borderId="4" xfId="7" applyNumberFormat="1" applyFont="1" applyFill="1" applyBorder="1" applyAlignment="1">
      <alignment horizontal="right" vertical="center"/>
    </xf>
    <xf numFmtId="4" fontId="2" fillId="0" borderId="24" xfId="6" applyNumberFormat="1" applyFont="1" applyBorder="1"/>
    <xf numFmtId="4" fontId="2" fillId="0" borderId="21" xfId="6" applyNumberFormat="1" applyFont="1" applyBorder="1"/>
    <xf numFmtId="4" fontId="5" fillId="0" borderId="24" xfId="7" applyNumberFormat="1" applyFont="1" applyFill="1" applyBorder="1" applyAlignment="1">
      <alignment horizontal="right" vertical="center"/>
    </xf>
    <xf numFmtId="0" fontId="2" fillId="0" borderId="24" xfId="6" applyFont="1" applyBorder="1"/>
    <xf numFmtId="4" fontId="9" fillId="0" borderId="25" xfId="7" applyNumberFormat="1" applyFont="1" applyFill="1" applyBorder="1" applyAlignment="1">
      <alignment horizontal="right" vertical="center"/>
    </xf>
    <xf numFmtId="4" fontId="9" fillId="0" borderId="22" xfId="7" applyNumberFormat="1" applyFont="1" applyFill="1" applyBorder="1" applyAlignment="1">
      <alignment horizontal="right" vertical="center"/>
    </xf>
    <xf numFmtId="4" fontId="2" fillId="0" borderId="42" xfId="3" applyNumberFormat="1" applyFont="1" applyBorder="1" applyAlignment="1">
      <alignment horizontal="left" vertical="center" wrapText="1"/>
    </xf>
    <xf numFmtId="4" fontId="9" fillId="0" borderId="9" xfId="7" applyNumberFormat="1" applyFont="1" applyFill="1" applyBorder="1" applyAlignment="1">
      <alignment horizontal="right" vertical="center"/>
    </xf>
    <xf numFmtId="4" fontId="2" fillId="0" borderId="9" xfId="7" applyNumberFormat="1" applyFont="1" applyFill="1" applyBorder="1" applyAlignment="1">
      <alignment horizontal="right" vertical="center"/>
    </xf>
    <xf numFmtId="4" fontId="2" fillId="0" borderId="0" xfId="7" applyNumberFormat="1" applyFont="1" applyFill="1" applyBorder="1" applyAlignment="1">
      <alignment horizontal="right" vertical="center"/>
    </xf>
    <xf numFmtId="4" fontId="7" fillId="0" borderId="28" xfId="7" applyNumberFormat="1" applyFont="1" applyFill="1" applyBorder="1" applyAlignment="1">
      <alignment horizontal="right" vertical="center"/>
    </xf>
    <xf numFmtId="4" fontId="9" fillId="0" borderId="33" xfId="7" applyNumberFormat="1" applyFont="1" applyFill="1" applyBorder="1" applyAlignment="1">
      <alignment horizontal="right" vertical="center"/>
    </xf>
    <xf numFmtId="4" fontId="9" fillId="30" borderId="19" xfId="4" applyNumberFormat="1" applyFont="1" applyFill="1" applyBorder="1" applyAlignment="1">
      <alignment horizontal="left" vertical="center" wrapText="1"/>
    </xf>
    <xf numFmtId="4" fontId="2" fillId="30" borderId="9" xfId="1" applyNumberFormat="1" applyFont="1" applyFill="1" applyBorder="1" applyAlignment="1">
      <alignment horizontal="right" vertical="center"/>
    </xf>
    <xf numFmtId="4" fontId="2" fillId="30" borderId="0" xfId="1" applyNumberFormat="1" applyFont="1" applyFill="1" applyBorder="1" applyAlignment="1">
      <alignment horizontal="right" vertical="center"/>
    </xf>
    <xf numFmtId="4" fontId="7" fillId="30" borderId="21" xfId="1" applyNumberFormat="1" applyFont="1" applyFill="1" applyBorder="1" applyAlignment="1">
      <alignment horizontal="right" vertical="center"/>
    </xf>
    <xf numFmtId="4" fontId="9" fillId="30" borderId="0" xfId="1" applyNumberFormat="1" applyFont="1" applyFill="1" applyBorder="1" applyAlignment="1">
      <alignment horizontal="right" vertical="center"/>
    </xf>
    <xf numFmtId="4" fontId="9" fillId="0" borderId="10" xfId="4" applyNumberFormat="1" applyFont="1" applyBorder="1" applyAlignment="1">
      <alignment horizontal="left" vertical="center" wrapText="1"/>
    </xf>
    <xf numFmtId="0" fontId="2" fillId="0" borderId="40" xfId="3" applyFont="1" applyBorder="1"/>
    <xf numFmtId="4" fontId="5" fillId="12" borderId="2" xfId="3" applyNumberFormat="1" applyFont="1" applyFill="1" applyBorder="1" applyAlignment="1">
      <alignment horizontal="center"/>
    </xf>
    <xf numFmtId="4" fontId="5" fillId="3" borderId="14" xfId="1" applyNumberFormat="1" applyFont="1" applyFill="1" applyBorder="1" applyAlignment="1">
      <alignment horizontal="right" vertical="center"/>
    </xf>
    <xf numFmtId="4" fontId="5" fillId="20" borderId="21" xfId="1" applyNumberFormat="1" applyFont="1" applyFill="1" applyBorder="1" applyAlignment="1">
      <alignment horizontal="right" vertical="center"/>
    </xf>
    <xf numFmtId="4" fontId="7" fillId="4" borderId="28" xfId="1" applyNumberFormat="1" applyFont="1" applyFill="1" applyBorder="1" applyAlignment="1">
      <alignment horizontal="right" vertical="center"/>
    </xf>
    <xf numFmtId="4" fontId="7" fillId="14" borderId="21" xfId="1" applyNumberFormat="1" applyFont="1" applyFill="1" applyBorder="1" applyAlignment="1">
      <alignment horizontal="right" vertical="center"/>
    </xf>
    <xf numFmtId="4" fontId="7" fillId="7" borderId="24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5" fillId="0" borderId="24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17" borderId="2" xfId="1" applyNumberFormat="1" applyFont="1" applyFill="1" applyBorder="1" applyAlignment="1">
      <alignment horizontal="right" vertical="center" wrapText="1"/>
    </xf>
    <xf numFmtId="4" fontId="5" fillId="18" borderId="21" xfId="1" applyNumberFormat="1" applyFont="1" applyFill="1" applyBorder="1" applyAlignment="1">
      <alignment horizontal="right" vertical="center"/>
    </xf>
    <xf numFmtId="4" fontId="5" fillId="20" borderId="24" xfId="1" applyNumberFormat="1" applyFont="1" applyFill="1" applyBorder="1" applyAlignment="1">
      <alignment horizontal="right" vertical="center"/>
    </xf>
    <xf numFmtId="4" fontId="5" fillId="22" borderId="24" xfId="1" applyNumberFormat="1" applyFont="1" applyFill="1" applyBorder="1" applyAlignment="1">
      <alignment horizontal="right" vertical="center"/>
    </xf>
    <xf numFmtId="4" fontId="5" fillId="24" borderId="21" xfId="1" applyNumberFormat="1" applyFont="1" applyFill="1" applyBorder="1" applyAlignment="1">
      <alignment horizontal="right" vertical="center" wrapText="1"/>
    </xf>
    <xf numFmtId="4" fontId="5" fillId="29" borderId="21" xfId="1" applyNumberFormat="1" applyFont="1" applyFill="1" applyBorder="1" applyAlignment="1">
      <alignment horizontal="right" vertical="center" wrapText="1"/>
    </xf>
    <xf numFmtId="4" fontId="5" fillId="7" borderId="21" xfId="1" applyNumberFormat="1" applyFont="1" applyFill="1" applyBorder="1" applyAlignment="1">
      <alignment horizontal="right" vertical="center" wrapText="1"/>
    </xf>
    <xf numFmtId="4" fontId="5" fillId="0" borderId="28" xfId="1" applyNumberFormat="1" applyFont="1" applyFill="1" applyBorder="1" applyAlignment="1">
      <alignment horizontal="right" vertical="center" wrapText="1"/>
    </xf>
    <xf numFmtId="4" fontId="5" fillId="0" borderId="24" xfId="1" applyNumberFormat="1" applyFont="1" applyFill="1" applyBorder="1" applyAlignment="1">
      <alignment horizontal="right" vertical="center" wrapText="1"/>
    </xf>
    <xf numFmtId="4" fontId="5" fillId="0" borderId="21" xfId="1" applyNumberFormat="1" applyFont="1" applyFill="1" applyBorder="1" applyAlignment="1">
      <alignment horizontal="right" vertical="center" wrapText="1"/>
    </xf>
    <xf numFmtId="4" fontId="5" fillId="29" borderId="24" xfId="1" applyNumberFormat="1" applyFont="1" applyFill="1" applyBorder="1" applyAlignment="1">
      <alignment horizontal="right" vertical="center" wrapText="1"/>
    </xf>
    <xf numFmtId="4" fontId="5" fillId="24" borderId="2" xfId="1" applyNumberFormat="1" applyFont="1" applyFill="1" applyBorder="1" applyAlignment="1">
      <alignment horizontal="right" vertical="center"/>
    </xf>
    <xf numFmtId="4" fontId="5" fillId="24" borderId="9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4" fontId="5" fillId="24" borderId="33" xfId="1" applyNumberFormat="1" applyFont="1" applyFill="1" applyBorder="1"/>
    <xf numFmtId="0" fontId="9" fillId="0" borderId="10" xfId="5" applyFont="1" applyBorder="1" applyAlignment="1">
      <alignment horizontal="left"/>
    </xf>
    <xf numFmtId="0" fontId="9" fillId="0" borderId="39" xfId="5" applyFont="1" applyBorder="1" applyAlignment="1">
      <alignment horizontal="left"/>
    </xf>
    <xf numFmtId="4" fontId="5" fillId="5" borderId="1" xfId="3" applyNumberFormat="1" applyFont="1" applyFill="1" applyBorder="1" applyAlignment="1">
      <alignment horizontal="left" vertical="center" wrapText="1"/>
    </xf>
    <xf numFmtId="4" fontId="5" fillId="2" borderId="7" xfId="4" applyNumberFormat="1" applyFont="1" applyFill="1" applyBorder="1" applyAlignment="1">
      <alignment horizontal="center" vertical="center" wrapText="1"/>
    </xf>
    <xf numFmtId="0" fontId="2" fillId="0" borderId="6" xfId="6" applyFont="1" applyBorder="1"/>
    <xf numFmtId="4" fontId="7" fillId="0" borderId="19" xfId="4" applyNumberFormat="1" applyFont="1" applyBorder="1" applyAlignment="1">
      <alignment horizontal="left" vertical="center" wrapText="1"/>
    </xf>
    <xf numFmtId="4" fontId="9" fillId="0" borderId="30" xfId="4" applyNumberFormat="1" applyFont="1" applyBorder="1" applyAlignment="1">
      <alignment horizontal="left" vertical="center" wrapText="1"/>
    </xf>
    <xf numFmtId="3" fontId="9" fillId="0" borderId="30" xfId="4" applyNumberFormat="1" applyFont="1" applyBorder="1" applyAlignment="1">
      <alignment horizontal="left" vertical="center" wrapText="1"/>
    </xf>
    <xf numFmtId="3" fontId="9" fillId="0" borderId="19" xfId="4" applyNumberFormat="1" applyFont="1" applyBorder="1" applyAlignment="1">
      <alignment horizontal="left" vertical="center" wrapText="1"/>
    </xf>
    <xf numFmtId="4" fontId="5" fillId="0" borderId="42" xfId="3" applyNumberFormat="1" applyFont="1" applyBorder="1" applyAlignment="1">
      <alignment horizontal="left" vertical="center" wrapText="1"/>
    </xf>
    <xf numFmtId="4" fontId="5" fillId="15" borderId="1" xfId="3" applyNumberFormat="1" applyFont="1" applyFill="1" applyBorder="1" applyAlignment="1">
      <alignment horizontal="center" vertical="center" wrapText="1"/>
    </xf>
    <xf numFmtId="4" fontId="5" fillId="16" borderId="10" xfId="3" applyNumberFormat="1" applyFont="1" applyFill="1" applyBorder="1" applyAlignment="1">
      <alignment horizontal="center" vertical="center" wrapText="1"/>
    </xf>
    <xf numFmtId="4" fontId="24" fillId="0" borderId="13" xfId="3" applyNumberFormat="1" applyFont="1" applyBorder="1" applyAlignment="1">
      <alignment horizontal="left" vertical="center" wrapText="1"/>
    </xf>
    <xf numFmtId="4" fontId="2" fillId="0" borderId="6" xfId="4" applyNumberFormat="1" applyFont="1" applyBorder="1" applyAlignment="1">
      <alignment horizontal="left" vertical="center" wrapText="1"/>
    </xf>
    <xf numFmtId="4" fontId="2" fillId="0" borderId="30" xfId="4" applyNumberFormat="1" applyFont="1" applyBorder="1" applyAlignment="1">
      <alignment horizontal="left" vertical="center" wrapText="1"/>
    </xf>
    <xf numFmtId="4" fontId="5" fillId="17" borderId="1" xfId="4" applyNumberFormat="1" applyFont="1" applyFill="1" applyBorder="1" applyAlignment="1">
      <alignment horizontal="left" vertical="center" wrapText="1"/>
    </xf>
    <xf numFmtId="4" fontId="5" fillId="18" borderId="1" xfId="4" applyNumberFormat="1" applyFont="1" applyFill="1" applyBorder="1" applyAlignment="1">
      <alignment horizontal="left" vertical="center" wrapText="1"/>
    </xf>
    <xf numFmtId="0" fontId="9" fillId="0" borderId="19" xfId="2" applyFont="1" applyBorder="1" applyAlignment="1">
      <alignment wrapText="1"/>
    </xf>
    <xf numFmtId="0" fontId="9" fillId="0" borderId="30" xfId="2" applyFont="1" applyBorder="1" applyAlignment="1">
      <alignment wrapText="1"/>
    </xf>
    <xf numFmtId="0" fontId="2" fillId="0" borderId="30" xfId="2" applyFont="1" applyBorder="1" applyAlignment="1">
      <alignment vertical="top" wrapText="1"/>
    </xf>
    <xf numFmtId="0" fontId="2" fillId="7" borderId="30" xfId="2" applyFont="1" applyFill="1" applyBorder="1" applyAlignment="1">
      <alignment wrapText="1"/>
    </xf>
    <xf numFmtId="0" fontId="2" fillId="0" borderId="19" xfId="2" applyFont="1" applyBorder="1" applyAlignment="1">
      <alignment wrapText="1"/>
    </xf>
    <xf numFmtId="4" fontId="2" fillId="0" borderId="24" xfId="2" applyNumberFormat="1" applyFont="1" applyBorder="1" applyAlignment="1">
      <alignment wrapText="1"/>
    </xf>
    <xf numFmtId="4" fontId="2" fillId="0" borderId="28" xfId="3" applyNumberFormat="1" applyFont="1" applyBorder="1"/>
    <xf numFmtId="4" fontId="2" fillId="0" borderId="25" xfId="5" applyNumberFormat="1" applyFont="1" applyBorder="1" applyAlignment="1">
      <alignment wrapText="1"/>
    </xf>
    <xf numFmtId="4" fontId="2" fillId="4" borderId="17" xfId="1" applyNumberFormat="1" applyFont="1" applyFill="1" applyBorder="1" applyAlignment="1">
      <alignment horizontal="right" vertical="center"/>
    </xf>
    <xf numFmtId="4" fontId="2" fillId="14" borderId="22" xfId="1" applyNumberFormat="1" applyFont="1" applyFill="1" applyBorder="1" applyAlignment="1">
      <alignment horizontal="right" vertical="center"/>
    </xf>
    <xf numFmtId="4" fontId="5" fillId="0" borderId="16" xfId="7" applyNumberFormat="1" applyFont="1" applyFill="1" applyBorder="1" applyAlignment="1">
      <alignment horizontal="right" vertical="center"/>
    </xf>
    <xf numFmtId="4" fontId="2" fillId="0" borderId="25" xfId="5" applyNumberFormat="1" applyFont="1" applyBorder="1"/>
    <xf numFmtId="4" fontId="5" fillId="16" borderId="22" xfId="1" applyNumberFormat="1" applyFont="1" applyFill="1" applyBorder="1" applyAlignment="1">
      <alignment horizontal="right" vertical="center"/>
    </xf>
    <xf numFmtId="4" fontId="2" fillId="0" borderId="43" xfId="1" applyNumberFormat="1" applyFont="1" applyFill="1" applyBorder="1" applyAlignment="1">
      <alignment horizontal="right" vertical="center"/>
    </xf>
    <xf numFmtId="4" fontId="2" fillId="28" borderId="0" xfId="1" applyNumberFormat="1" applyFont="1" applyFill="1" applyBorder="1" applyAlignment="1">
      <alignment horizontal="right" vertical="center"/>
    </xf>
    <xf numFmtId="4" fontId="2" fillId="0" borderId="43" xfId="7" applyNumberFormat="1" applyFont="1" applyFill="1" applyBorder="1" applyAlignment="1">
      <alignment horizontal="right" vertical="center"/>
    </xf>
    <xf numFmtId="4" fontId="2" fillId="0" borderId="36" xfId="7" applyNumberFormat="1" applyFont="1" applyFill="1" applyBorder="1" applyAlignment="1">
      <alignment horizontal="right" vertical="center"/>
    </xf>
    <xf numFmtId="4" fontId="2" fillId="6" borderId="43" xfId="1" applyNumberFormat="1" applyFont="1" applyFill="1" applyBorder="1" applyAlignment="1">
      <alignment horizontal="right" vertical="center"/>
    </xf>
    <xf numFmtId="4" fontId="2" fillId="6" borderId="22" xfId="1" applyNumberFormat="1" applyFont="1" applyFill="1" applyBorder="1" applyAlignment="1">
      <alignment horizontal="right" vertical="center"/>
    </xf>
    <xf numFmtId="0" fontId="2" fillId="0" borderId="25" xfId="3" applyFont="1" applyBorder="1"/>
    <xf numFmtId="4" fontId="2" fillId="7" borderId="0" xfId="1" applyNumberFormat="1" applyFont="1" applyFill="1" applyBorder="1" applyAlignment="1">
      <alignment horizontal="right" vertical="center"/>
    </xf>
    <xf numFmtId="4" fontId="2" fillId="0" borderId="25" xfId="2" applyNumberFormat="1" applyFont="1" applyBorder="1" applyAlignment="1">
      <alignment wrapText="1"/>
    </xf>
    <xf numFmtId="4" fontId="5" fillId="7" borderId="16" xfId="4" applyNumberFormat="1" applyFont="1" applyFill="1" applyBorder="1" applyAlignment="1">
      <alignment horizontal="center" wrapText="1"/>
    </xf>
    <xf numFmtId="4" fontId="2" fillId="21" borderId="22" xfId="1" applyNumberFormat="1" applyFont="1" applyFill="1" applyBorder="1" applyAlignment="1">
      <alignment horizontal="right" vertical="center"/>
    </xf>
    <xf numFmtId="4" fontId="2" fillId="23" borderId="22" xfId="1" applyNumberFormat="1" applyFont="1" applyFill="1" applyBorder="1" applyAlignment="1">
      <alignment horizontal="right" vertical="center"/>
    </xf>
    <xf numFmtId="4" fontId="2" fillId="27" borderId="22" xfId="1" applyNumberFormat="1" applyFont="1" applyFill="1" applyBorder="1" applyAlignment="1">
      <alignment horizontal="right" vertical="center"/>
    </xf>
    <xf numFmtId="4" fontId="2" fillId="4" borderId="29" xfId="1" applyNumberFormat="1" applyFont="1" applyFill="1" applyBorder="1" applyAlignment="1">
      <alignment horizontal="right" vertical="center"/>
    </xf>
    <xf numFmtId="4" fontId="5" fillId="7" borderId="36" xfId="1" applyNumberFormat="1" applyFont="1" applyFill="1" applyBorder="1" applyAlignment="1">
      <alignment horizontal="right" vertical="center"/>
    </xf>
    <xf numFmtId="4" fontId="5" fillId="20" borderId="16" xfId="1" applyNumberFormat="1" applyFont="1" applyFill="1" applyBorder="1" applyAlignment="1">
      <alignment horizontal="right" vertical="center"/>
    </xf>
    <xf numFmtId="4" fontId="5" fillId="19" borderId="16" xfId="7" applyNumberFormat="1" applyFont="1" applyFill="1" applyBorder="1" applyAlignment="1">
      <alignment horizontal="right" vertical="center" wrapText="1"/>
    </xf>
    <xf numFmtId="4" fontId="2" fillId="6" borderId="25" xfId="7" applyNumberFormat="1" applyFont="1" applyFill="1" applyBorder="1" applyAlignment="1">
      <alignment horizontal="right" vertical="center"/>
    </xf>
    <xf numFmtId="4" fontId="2" fillId="22" borderId="25" xfId="7" applyNumberFormat="1" applyFont="1" applyFill="1" applyBorder="1" applyAlignment="1">
      <alignment horizontal="right" vertical="center"/>
    </xf>
    <xf numFmtId="4" fontId="2" fillId="23" borderId="25" xfId="7" applyNumberFormat="1" applyFont="1" applyFill="1" applyBorder="1" applyAlignment="1">
      <alignment horizontal="right" vertical="center"/>
    </xf>
    <xf numFmtId="4" fontId="2" fillId="27" borderId="25" xfId="7" applyNumberFormat="1" applyFont="1" applyFill="1" applyBorder="1" applyAlignment="1">
      <alignment horizontal="right" vertical="center"/>
    </xf>
    <xf numFmtId="4" fontId="2" fillId="24" borderId="25" xfId="7" applyNumberFormat="1" applyFont="1" applyFill="1" applyBorder="1" applyAlignment="1">
      <alignment horizontal="right" vertical="center"/>
    </xf>
    <xf numFmtId="4" fontId="2" fillId="30" borderId="25" xfId="7" applyNumberFormat="1" applyFont="1" applyFill="1" applyBorder="1" applyAlignment="1">
      <alignment horizontal="right" vertical="center"/>
    </xf>
    <xf numFmtId="4" fontId="24" fillId="0" borderId="25" xfId="1" applyNumberFormat="1" applyFont="1" applyFill="1" applyBorder="1" applyAlignment="1">
      <alignment horizontal="right" vertical="center"/>
    </xf>
    <xf numFmtId="4" fontId="7" fillId="2" borderId="16" xfId="4" applyNumberFormat="1" applyFont="1" applyFill="1" applyBorder="1" applyAlignment="1">
      <alignment horizontal="center" wrapText="1"/>
    </xf>
    <xf numFmtId="4" fontId="9" fillId="0" borderId="22" xfId="1" applyNumberFormat="1" applyFont="1" applyFill="1" applyBorder="1" applyAlignment="1">
      <alignment horizontal="right" vertical="center"/>
    </xf>
    <xf numFmtId="4" fontId="7" fillId="6" borderId="16" xfId="1" applyNumberFormat="1" applyFont="1" applyFill="1" applyBorder="1" applyAlignment="1">
      <alignment horizontal="right" vertical="center"/>
    </xf>
    <xf numFmtId="4" fontId="9" fillId="4" borderId="29" xfId="1" applyNumberFormat="1" applyFont="1" applyFill="1" applyBorder="1" applyAlignment="1">
      <alignment horizontal="right" vertical="center"/>
    </xf>
    <xf numFmtId="0" fontId="2" fillId="0" borderId="25" xfId="6" applyFont="1" applyBorder="1"/>
    <xf numFmtId="4" fontId="7" fillId="0" borderId="22" xfId="7" applyNumberFormat="1" applyFont="1" applyFill="1" applyBorder="1" applyAlignment="1">
      <alignment horizontal="right" vertical="center"/>
    </xf>
    <xf numFmtId="4" fontId="5" fillId="0" borderId="22" xfId="7" applyNumberFormat="1" applyFont="1" applyFill="1" applyBorder="1" applyAlignment="1">
      <alignment horizontal="right" vertical="center"/>
    </xf>
    <xf numFmtId="4" fontId="5" fillId="2" borderId="2" xfId="4" applyNumberFormat="1" applyFont="1" applyFill="1" applyBorder="1" applyAlignment="1">
      <alignment wrapText="1"/>
    </xf>
    <xf numFmtId="4" fontId="2" fillId="14" borderId="4" xfId="1" applyNumberFormat="1" applyFont="1" applyFill="1" applyBorder="1" applyAlignment="1">
      <alignment horizontal="right" vertical="center"/>
    </xf>
    <xf numFmtId="4" fontId="11" fillId="0" borderId="21" xfId="1" applyNumberFormat="1" applyFont="1" applyFill="1" applyBorder="1" applyAlignment="1">
      <alignment horizontal="right" vertical="center"/>
    </xf>
    <xf numFmtId="4" fontId="24" fillId="0" borderId="24" xfId="1" applyNumberFormat="1" applyFont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5" fillId="28" borderId="28" xfId="1" applyNumberFormat="1" applyFont="1" applyFill="1" applyBorder="1" applyAlignment="1">
      <alignment horizontal="right" vertical="center"/>
    </xf>
    <xf numFmtId="0" fontId="9" fillId="0" borderId="30" xfId="2" applyFont="1" applyBorder="1"/>
    <xf numFmtId="0" fontId="9" fillId="7" borderId="30" xfId="2" applyFont="1" applyFill="1" applyBorder="1" applyAlignment="1">
      <alignment wrapText="1"/>
    </xf>
    <xf numFmtId="0" fontId="9" fillId="0" borderId="30" xfId="5" applyFont="1" applyBorder="1" applyAlignment="1">
      <alignment wrapText="1"/>
    </xf>
    <xf numFmtId="0" fontId="2" fillId="0" borderId="30" xfId="2" applyFont="1" applyBorder="1" applyAlignment="1">
      <alignment wrapText="1"/>
    </xf>
    <xf numFmtId="0" fontId="2" fillId="0" borderId="30" xfId="2" applyFont="1" applyBorder="1"/>
    <xf numFmtId="0" fontId="7" fillId="6" borderId="30" xfId="2" applyFont="1" applyFill="1" applyBorder="1"/>
    <xf numFmtId="0" fontId="9" fillId="11" borderId="30" xfId="2" applyFont="1" applyFill="1" applyBorder="1"/>
    <xf numFmtId="0" fontId="9" fillId="11" borderId="30" xfId="5" applyFont="1" applyFill="1" applyBorder="1"/>
    <xf numFmtId="0" fontId="9" fillId="0" borderId="30" xfId="5" applyFont="1" applyBorder="1"/>
    <xf numFmtId="0" fontId="2" fillId="11" borderId="30" xfId="2" applyFont="1" applyFill="1" applyBorder="1" applyAlignment="1">
      <alignment wrapText="1"/>
    </xf>
    <xf numFmtId="0" fontId="9" fillId="11" borderId="30" xfId="2" applyFont="1" applyFill="1" applyBorder="1" applyAlignment="1">
      <alignment horizontal="left"/>
    </xf>
    <xf numFmtId="0" fontId="9" fillId="11" borderId="30" xfId="5" applyFont="1" applyFill="1" applyBorder="1" applyAlignment="1">
      <alignment horizontal="left"/>
    </xf>
    <xf numFmtId="3" fontId="9" fillId="11" borderId="30" xfId="4" applyNumberFormat="1" applyFont="1" applyFill="1" applyBorder="1" applyAlignment="1">
      <alignment horizontal="left" vertical="center" wrapText="1"/>
    </xf>
    <xf numFmtId="4" fontId="9" fillId="11" borderId="30" xfId="4" applyNumberFormat="1" applyFont="1" applyFill="1" applyBorder="1" applyAlignment="1">
      <alignment vertical="center" wrapText="1"/>
    </xf>
    <xf numFmtId="4" fontId="9" fillId="11" borderId="30" xfId="4" applyNumberFormat="1" applyFont="1" applyFill="1" applyBorder="1" applyAlignment="1">
      <alignment horizontal="left" shrinkToFit="1"/>
    </xf>
    <xf numFmtId="4" fontId="9" fillId="11" borderId="30" xfId="4" applyNumberFormat="1" applyFont="1" applyFill="1" applyBorder="1" applyAlignment="1">
      <alignment horizontal="left" vertical="center" wrapText="1"/>
    </xf>
    <xf numFmtId="4" fontId="2" fillId="11" borderId="30" xfId="4" applyNumberFormat="1" applyFont="1" applyFill="1" applyBorder="1" applyAlignment="1">
      <alignment horizontal="left" shrinkToFit="1"/>
    </xf>
    <xf numFmtId="0" fontId="2" fillId="11" borderId="30" xfId="5" applyFont="1" applyFill="1" applyBorder="1" applyAlignment="1">
      <alignment wrapText="1"/>
    </xf>
    <xf numFmtId="0" fontId="2" fillId="11" borderId="30" xfId="5" applyFont="1" applyFill="1" applyBorder="1"/>
    <xf numFmtId="0" fontId="2" fillId="11" borderId="30" xfId="0" applyFont="1" applyFill="1" applyBorder="1"/>
    <xf numFmtId="0" fontId="2" fillId="11" borderId="30" xfId="2" applyFont="1" applyFill="1" applyBorder="1"/>
    <xf numFmtId="0" fontId="2" fillId="30" borderId="30" xfId="2" applyFont="1" applyFill="1" applyBorder="1"/>
    <xf numFmtId="4" fontId="9" fillId="5" borderId="15" xfId="2" applyNumberFormat="1" applyFont="1" applyFill="1" applyBorder="1"/>
    <xf numFmtId="49" fontId="2" fillId="0" borderId="24" xfId="5" applyNumberFormat="1" applyFont="1" applyBorder="1" applyAlignment="1">
      <alignment horizontal="left"/>
    </xf>
    <xf numFmtId="49" fontId="2" fillId="0" borderId="24" xfId="5" applyNumberFormat="1" applyFont="1" applyBorder="1"/>
    <xf numFmtId="49" fontId="2" fillId="0" borderId="24" xfId="2" applyNumberFormat="1" applyFont="1" applyBorder="1" applyAlignment="1">
      <alignment horizontal="left" wrapText="1"/>
    </xf>
    <xf numFmtId="49" fontId="2" fillId="0" borderId="24" xfId="2" applyNumberFormat="1" applyFont="1" applyBorder="1" applyAlignment="1">
      <alignment horizontal="left"/>
    </xf>
    <xf numFmtId="49" fontId="2" fillId="0" borderId="24" xfId="2" applyNumberFormat="1" applyFont="1" applyBorder="1" applyAlignment="1">
      <alignment horizontal="right"/>
    </xf>
    <xf numFmtId="49" fontId="2" fillId="0" borderId="24" xfId="0" applyNumberFormat="1" applyFont="1" applyBorder="1"/>
    <xf numFmtId="49" fontId="2" fillId="11" borderId="24" xfId="0" applyNumberFormat="1" applyFont="1" applyFill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7" fillId="0" borderId="24" xfId="2" applyNumberFormat="1" applyFont="1" applyBorder="1" applyAlignment="1">
      <alignment horizontal="right"/>
    </xf>
    <xf numFmtId="49" fontId="2" fillId="11" borderId="24" xfId="2" applyNumberFormat="1" applyFont="1" applyFill="1" applyBorder="1" applyAlignment="1">
      <alignment horizontal="left"/>
    </xf>
    <xf numFmtId="49" fontId="2" fillId="11" borderId="24" xfId="5" applyNumberFormat="1" applyFont="1" applyFill="1" applyBorder="1" applyAlignment="1">
      <alignment horizontal="left"/>
    </xf>
    <xf numFmtId="49" fontId="9" fillId="11" borderId="24" xfId="5" applyNumberFormat="1" applyFont="1" applyFill="1" applyBorder="1" applyAlignment="1">
      <alignment horizontal="left"/>
    </xf>
    <xf numFmtId="49" fontId="2" fillId="11" borderId="24" xfId="2" applyNumberFormat="1" applyFont="1" applyFill="1" applyBorder="1"/>
    <xf numFmtId="49" fontId="2" fillId="11" borderId="24" xfId="5" applyNumberFormat="1" applyFont="1" applyFill="1" applyBorder="1"/>
    <xf numFmtId="49" fontId="9" fillId="11" borderId="24" xfId="2" applyNumberFormat="1" applyFont="1" applyFill="1" applyBorder="1" applyAlignment="1">
      <alignment horizontal="left"/>
    </xf>
    <xf numFmtId="49" fontId="2" fillId="11" borderId="24" xfId="2" applyNumberFormat="1" applyFont="1" applyFill="1" applyBorder="1" applyAlignment="1">
      <alignment horizontal="left" wrapText="1"/>
    </xf>
    <xf numFmtId="49" fontId="2" fillId="30" borderId="24" xfId="2" applyNumberFormat="1" applyFont="1" applyFill="1" applyBorder="1" applyAlignment="1">
      <alignment horizontal="left"/>
    </xf>
    <xf numFmtId="4" fontId="5" fillId="3" borderId="43" xfId="2" applyNumberFormat="1" applyFont="1" applyFill="1" applyBorder="1"/>
    <xf numFmtId="4" fontId="5" fillId="5" borderId="16" xfId="2" applyNumberFormat="1" applyFont="1" applyFill="1" applyBorder="1"/>
    <xf numFmtId="4" fontId="2" fillId="7" borderId="17" xfId="2" applyNumberFormat="1" applyFont="1" applyFill="1" applyBorder="1"/>
    <xf numFmtId="4" fontId="2" fillId="7" borderId="25" xfId="5" applyNumberFormat="1" applyFont="1" applyFill="1" applyBorder="1"/>
    <xf numFmtId="4" fontId="2" fillId="7" borderId="25" xfId="2" applyNumberFormat="1" applyFont="1" applyFill="1" applyBorder="1"/>
    <xf numFmtId="4" fontId="9" fillId="7" borderId="25" xfId="5" applyNumberFormat="1" applyFont="1" applyFill="1" applyBorder="1"/>
    <xf numFmtId="4" fontId="2" fillId="7" borderId="25" xfId="5" applyNumberFormat="1" applyFont="1" applyFill="1" applyBorder="1" applyAlignment="1">
      <alignment wrapText="1"/>
    </xf>
    <xf numFmtId="4" fontId="2" fillId="7" borderId="25" xfId="2" applyNumberFormat="1" applyFont="1" applyFill="1" applyBorder="1" applyAlignment="1">
      <alignment wrapText="1"/>
    </xf>
    <xf numFmtId="4" fontId="2" fillId="7" borderId="25" xfId="3" applyNumberFormat="1" applyFont="1" applyFill="1" applyBorder="1"/>
    <xf numFmtId="4" fontId="2" fillId="11" borderId="25" xfId="2" applyNumberFormat="1" applyFont="1" applyFill="1" applyBorder="1"/>
    <xf numFmtId="4" fontId="9" fillId="7" borderId="25" xfId="2" applyNumberFormat="1" applyFont="1" applyFill="1" applyBorder="1"/>
    <xf numFmtId="4" fontId="9" fillId="11" borderId="25" xfId="5" applyNumberFormat="1" applyFont="1" applyFill="1" applyBorder="1"/>
    <xf numFmtId="4" fontId="2" fillId="11" borderId="25" xfId="5" applyNumberFormat="1" applyFont="1" applyFill="1" applyBorder="1"/>
    <xf numFmtId="4" fontId="2" fillId="11" borderId="25" xfId="0" applyNumberFormat="1" applyFont="1" applyFill="1" applyBorder="1"/>
    <xf numFmtId="4" fontId="2" fillId="30" borderId="25" xfId="2" applyNumberFormat="1" applyFont="1" applyFill="1" applyBorder="1"/>
    <xf numFmtId="4" fontId="9" fillId="6" borderId="36" xfId="2" applyNumberFormat="1" applyFont="1" applyFill="1" applyBorder="1"/>
    <xf numFmtId="4" fontId="9" fillId="5" borderId="36" xfId="2" applyNumberFormat="1" applyFont="1" applyFill="1" applyBorder="1"/>
    <xf numFmtId="4" fontId="9" fillId="0" borderId="24" xfId="5" applyNumberFormat="1" applyFont="1" applyBorder="1"/>
    <xf numFmtId="4" fontId="2" fillId="11" borderId="24" xfId="2" applyNumberFormat="1" applyFont="1" applyFill="1" applyBorder="1"/>
    <xf numFmtId="4" fontId="9" fillId="0" borderId="24" xfId="2" applyNumberFormat="1" applyFont="1" applyBorder="1"/>
    <xf numFmtId="4" fontId="9" fillId="11" borderId="24" xfId="5" applyNumberFormat="1" applyFont="1" applyFill="1" applyBorder="1"/>
    <xf numFmtId="4" fontId="2" fillId="11" borderId="24" xfId="5" applyNumberFormat="1" applyFont="1" applyFill="1" applyBorder="1"/>
    <xf numFmtId="4" fontId="2" fillId="11" borderId="24" xfId="0" applyNumberFormat="1" applyFont="1" applyFill="1" applyBorder="1"/>
    <xf numFmtId="4" fontId="2" fillId="30" borderId="24" xfId="2" applyNumberFormat="1" applyFont="1" applyFill="1" applyBorder="1"/>
    <xf numFmtId="4" fontId="2" fillId="0" borderId="17" xfId="2" applyNumberFormat="1" applyFont="1" applyBorder="1"/>
    <xf numFmtId="4" fontId="9" fillId="0" borderId="25" xfId="5" applyNumberFormat="1" applyFont="1" applyBorder="1"/>
    <xf numFmtId="4" fontId="2" fillId="0" borderId="25" xfId="3" applyNumberFormat="1" applyFont="1" applyBorder="1"/>
    <xf numFmtId="4" fontId="9" fillId="0" borderId="25" xfId="2" applyNumberFormat="1" applyFont="1" applyBorder="1"/>
    <xf numFmtId="4" fontId="26" fillId="11" borderId="25" xfId="2" applyNumberFormat="1" applyFont="1" applyFill="1" applyBorder="1"/>
    <xf numFmtId="4" fontId="11" fillId="11" borderId="24" xfId="5" applyNumberFormat="1" applyFont="1" applyFill="1" applyBorder="1"/>
    <xf numFmtId="4" fontId="9" fillId="11" borderId="25" xfId="2" applyNumberFormat="1" applyFont="1" applyFill="1" applyBorder="1"/>
    <xf numFmtId="4" fontId="5" fillId="0" borderId="16" xfId="2" applyNumberFormat="1" applyFont="1" applyBorder="1" applyAlignment="1">
      <alignment horizontal="center" wrapText="1"/>
    </xf>
    <xf numFmtId="4" fontId="2" fillId="0" borderId="0" xfId="2" applyNumberFormat="1" applyFont="1" applyBorder="1"/>
    <xf numFmtId="0" fontId="2" fillId="11" borderId="24" xfId="0" applyFont="1" applyFill="1" applyBorder="1"/>
    <xf numFmtId="4" fontId="2" fillId="30" borderId="25" xfId="5" applyNumberFormat="1" applyFont="1" applyFill="1" applyBorder="1"/>
    <xf numFmtId="4" fontId="26" fillId="11" borderId="24" xfId="2" applyNumberFormat="1" applyFont="1" applyFill="1" applyBorder="1"/>
    <xf numFmtId="4" fontId="9" fillId="11" borderId="24" xfId="2" applyNumberFormat="1" applyFont="1" applyFill="1" applyBorder="1"/>
    <xf numFmtId="4" fontId="7" fillId="0" borderId="25" xfId="5" applyNumberFormat="1" applyFont="1" applyBorder="1"/>
    <xf numFmtId="4" fontId="4" fillId="0" borderId="25" xfId="2" applyNumberFormat="1" applyFont="1" applyBorder="1"/>
    <xf numFmtId="4" fontId="5" fillId="0" borderId="25" xfId="2" applyNumberFormat="1" applyFont="1" applyBorder="1"/>
    <xf numFmtId="4" fontId="5" fillId="11" borderId="25" xfId="2" applyNumberFormat="1" applyFont="1" applyFill="1" applyBorder="1"/>
    <xf numFmtId="4" fontId="7" fillId="0" borderId="25" xfId="2" applyNumberFormat="1" applyFont="1" applyBorder="1"/>
    <xf numFmtId="4" fontId="7" fillId="11" borderId="25" xfId="5" applyNumberFormat="1" applyFont="1" applyFill="1" applyBorder="1"/>
    <xf numFmtId="4" fontId="7" fillId="11" borderId="25" xfId="2" applyNumberFormat="1" applyFont="1" applyFill="1" applyBorder="1"/>
    <xf numFmtId="4" fontId="13" fillId="11" borderId="25" xfId="2" applyNumberFormat="1" applyFont="1" applyFill="1" applyBorder="1"/>
    <xf numFmtId="4" fontId="4" fillId="11" borderId="25" xfId="2" applyNumberFormat="1" applyFont="1" applyFill="1" applyBorder="1"/>
    <xf numFmtId="4" fontId="7" fillId="0" borderId="24" xfId="5" applyNumberFormat="1" applyFont="1" applyBorder="1"/>
    <xf numFmtId="4" fontId="4" fillId="0" borderId="24" xfId="2" applyNumberFormat="1" applyFont="1" applyBorder="1"/>
    <xf numFmtId="4" fontId="5" fillId="0" borderId="24" xfId="2" applyNumberFormat="1" applyFont="1" applyBorder="1"/>
    <xf numFmtId="4" fontId="5" fillId="11" borderId="24" xfId="2" applyNumberFormat="1" applyFont="1" applyFill="1" applyBorder="1"/>
    <xf numFmtId="4" fontId="7" fillId="0" borderId="24" xfId="2" applyNumberFormat="1" applyFont="1" applyBorder="1"/>
    <xf numFmtId="4" fontId="7" fillId="11" borderId="24" xfId="5" applyNumberFormat="1" applyFont="1" applyFill="1" applyBorder="1"/>
    <xf numFmtId="4" fontId="7" fillId="11" borderId="24" xfId="2" applyNumberFormat="1" applyFont="1" applyFill="1" applyBorder="1"/>
    <xf numFmtId="4" fontId="4" fillId="11" borderId="24" xfId="2" applyNumberFormat="1" applyFont="1" applyFill="1" applyBorder="1"/>
    <xf numFmtId="4" fontId="2" fillId="11" borderId="25" xfId="5" applyNumberFormat="1" applyFont="1" applyFill="1" applyBorder="1" applyAlignment="1">
      <alignment wrapText="1"/>
    </xf>
    <xf numFmtId="4" fontId="11" fillId="11" borderId="25" xfId="2" applyNumberFormat="1" applyFont="1" applyFill="1" applyBorder="1"/>
    <xf numFmtId="4" fontId="11" fillId="11" borderId="24" xfId="2" applyNumberFormat="1" applyFont="1" applyFill="1" applyBorder="1"/>
    <xf numFmtId="4" fontId="2" fillId="0" borderId="25" xfId="0" applyNumberFormat="1" applyFont="1" applyBorder="1"/>
    <xf numFmtId="4" fontId="10" fillId="0" borderId="24" xfId="2" applyNumberFormat="1" applyFont="1" applyBorder="1"/>
    <xf numFmtId="4" fontId="11" fillId="0" borderId="24" xfId="2" applyNumberFormat="1" applyFont="1" applyBorder="1"/>
    <xf numFmtId="4" fontId="11" fillId="0" borderId="24" xfId="2" applyNumberFormat="1" applyFont="1" applyBorder="1" applyAlignment="1">
      <alignment wrapText="1"/>
    </xf>
    <xf numFmtId="4" fontId="7" fillId="2" borderId="16" xfId="4" applyNumberFormat="1" applyFont="1" applyFill="1" applyBorder="1" applyAlignment="1">
      <alignment wrapText="1"/>
    </xf>
    <xf numFmtId="4" fontId="12" fillId="0" borderId="25" xfId="2" applyNumberFormat="1" applyFont="1" applyBorder="1"/>
    <xf numFmtId="4" fontId="12" fillId="0" borderId="25" xfId="2" applyNumberFormat="1" applyFont="1" applyBorder="1" applyAlignment="1">
      <alignment wrapText="1"/>
    </xf>
    <xf numFmtId="4" fontId="13" fillId="0" borderId="25" xfId="2" applyNumberFormat="1" applyFont="1" applyBorder="1" applyAlignment="1">
      <alignment wrapText="1"/>
    </xf>
    <xf numFmtId="4" fontId="11" fillId="0" borderId="25" xfId="2" applyNumberFormat="1" applyFont="1" applyBorder="1"/>
    <xf numFmtId="4" fontId="5" fillId="4" borderId="5" xfId="2" applyNumberFormat="1" applyFont="1" applyFill="1" applyBorder="1"/>
    <xf numFmtId="4" fontId="5" fillId="11" borderId="31" xfId="2" applyNumberFormat="1" applyFont="1" applyFill="1" applyBorder="1"/>
    <xf numFmtId="4" fontId="12" fillId="0" borderId="24" xfId="2" applyNumberFormat="1" applyFont="1" applyBorder="1"/>
    <xf numFmtId="4" fontId="12" fillId="0" borderId="24" xfId="2" applyNumberFormat="1" applyFont="1" applyBorder="1" applyAlignment="1">
      <alignment wrapText="1"/>
    </xf>
    <xf numFmtId="4" fontId="13" fillId="0" borderId="24" xfId="2" applyNumberFormat="1" applyFont="1" applyBorder="1" applyAlignment="1">
      <alignment wrapText="1"/>
    </xf>
    <xf numFmtId="0" fontId="5" fillId="0" borderId="1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5" fillId="5" borderId="1" xfId="2" applyFont="1" applyFill="1" applyBorder="1" applyAlignment="1">
      <alignment horizontal="left" wrapText="1"/>
    </xf>
    <xf numFmtId="0" fontId="5" fillId="5" borderId="3" xfId="2" applyFont="1" applyFill="1" applyBorder="1" applyAlignment="1">
      <alignment horizontal="left" wrapText="1"/>
    </xf>
    <xf numFmtId="4" fontId="5" fillId="0" borderId="0" xfId="3" applyNumberFormat="1" applyFont="1" applyAlignment="1">
      <alignment horizontal="center"/>
    </xf>
  </cellXfs>
  <cellStyles count="8">
    <cellStyle name="Čiarka" xfId="1" builtinId="3"/>
    <cellStyle name="Čiarka 2" xfId="7" xr:uid="{00000000-0005-0000-0000-000001000000}"/>
    <cellStyle name="Normálna" xfId="0" builtinId="0"/>
    <cellStyle name="normálne_Príloha è. 1 - AS STU r.2007" xfId="2" xr:uid="{00000000-0005-0000-0000-000003000000}"/>
    <cellStyle name="normálne_Príloha è. 1 - AS STU r.2007 2" xfId="5" xr:uid="{00000000-0005-0000-0000-000004000000}"/>
    <cellStyle name="normálne_Suhrn DOT 2005 dofinanc v maji + korekcia v dec05 2" xfId="3" xr:uid="{00000000-0005-0000-0000-000005000000}"/>
    <cellStyle name="normálne_Suhrn DOT 2005 dofinanc v maji + korekcia v dec05 2 2" xfId="6" xr:uid="{00000000-0005-0000-0000-000006000000}"/>
    <cellStyle name="normálne_Suhrn DOT 2005 dofinanc v maji + korekcia v dec05 3 2" xfId="4" xr:uid="{00000000-0005-0000-0000-000007000000}"/>
  </cellStyles>
  <dxfs count="0"/>
  <tableStyles count="0" defaultTableStyle="TableStyleMedium2" defaultPivotStyle="PivotStyleLight16"/>
  <colors>
    <mruColors>
      <color rgb="FFFFFFCC"/>
      <color rgb="FFD8E4BC"/>
      <color rgb="FFBDD7EE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6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" x14ac:dyDescent="0.2"/>
  <cols>
    <col min="1" max="1" width="60.42578125" style="7" customWidth="1"/>
    <col min="2" max="2" width="15.5703125" style="7" customWidth="1"/>
    <col min="3" max="3" width="16.140625" style="6" customWidth="1"/>
    <col min="4" max="5" width="14.5703125" style="6" customWidth="1"/>
    <col min="6" max="6" width="15.140625" style="6" customWidth="1"/>
    <col min="7" max="7" width="13.140625" style="6" bestFit="1" customWidth="1"/>
    <col min="8" max="8" width="14.140625" style="6" bestFit="1" customWidth="1"/>
    <col min="9" max="9" width="11.5703125" style="6" customWidth="1"/>
    <col min="10" max="11" width="13.140625" style="6" bestFit="1" customWidth="1"/>
    <col min="12" max="12" width="14.140625" style="6" bestFit="1" customWidth="1"/>
    <col min="13" max="14" width="13.140625" style="6" customWidth="1"/>
    <col min="15" max="15" width="14.42578125" style="6" customWidth="1"/>
    <col min="16" max="16" width="13.42578125" style="6" customWidth="1"/>
    <col min="17" max="18" width="15" style="6" customWidth="1"/>
    <col min="19" max="19" width="13.5703125" style="6" bestFit="1" customWidth="1"/>
    <col min="20" max="250" width="8.85546875" style="7"/>
    <col min="251" max="251" width="37.85546875" style="7" bestFit="1" customWidth="1"/>
    <col min="252" max="252" width="15.5703125" style="7" customWidth="1"/>
    <col min="253" max="253" width="16.140625" style="7" bestFit="1" customWidth="1"/>
    <col min="254" max="255" width="14.5703125" style="7" bestFit="1" customWidth="1"/>
    <col min="256" max="256" width="15.140625" style="7" customWidth="1"/>
    <col min="257" max="257" width="13.140625" style="7" bestFit="1" customWidth="1"/>
    <col min="258" max="258" width="14.140625" style="7" bestFit="1" customWidth="1"/>
    <col min="259" max="259" width="11.5703125" style="7" customWidth="1"/>
    <col min="260" max="261" width="13.140625" style="7" bestFit="1" customWidth="1"/>
    <col min="262" max="262" width="14.140625" style="7" bestFit="1" customWidth="1"/>
    <col min="263" max="264" width="13.140625" style="7" customWidth="1"/>
    <col min="265" max="265" width="14.42578125" style="7" customWidth="1"/>
    <col min="266" max="266" width="13.42578125" style="7" customWidth="1"/>
    <col min="267" max="268" width="15" style="7" customWidth="1"/>
    <col min="269" max="269" width="13.5703125" style="7" bestFit="1" customWidth="1"/>
    <col min="270" max="506" width="8.85546875" style="7"/>
    <col min="507" max="507" width="37.85546875" style="7" bestFit="1" customWidth="1"/>
    <col min="508" max="508" width="15.5703125" style="7" customWidth="1"/>
    <col min="509" max="509" width="16.140625" style="7" bestFit="1" customWidth="1"/>
    <col min="510" max="511" width="14.5703125" style="7" bestFit="1" customWidth="1"/>
    <col min="512" max="512" width="15.140625" style="7" customWidth="1"/>
    <col min="513" max="513" width="13.140625" style="7" bestFit="1" customWidth="1"/>
    <col min="514" max="514" width="14.140625" style="7" bestFit="1" customWidth="1"/>
    <col min="515" max="515" width="11.5703125" style="7" customWidth="1"/>
    <col min="516" max="517" width="13.140625" style="7" bestFit="1" customWidth="1"/>
    <col min="518" max="518" width="14.140625" style="7" bestFit="1" customWidth="1"/>
    <col min="519" max="520" width="13.140625" style="7" customWidth="1"/>
    <col min="521" max="521" width="14.42578125" style="7" customWidth="1"/>
    <col min="522" max="522" width="13.42578125" style="7" customWidth="1"/>
    <col min="523" max="524" width="15" style="7" customWidth="1"/>
    <col min="525" max="525" width="13.5703125" style="7" bestFit="1" customWidth="1"/>
    <col min="526" max="762" width="8.85546875" style="7"/>
    <col min="763" max="763" width="37.85546875" style="7" bestFit="1" customWidth="1"/>
    <col min="764" max="764" width="15.5703125" style="7" customWidth="1"/>
    <col min="765" max="765" width="16.140625" style="7" bestFit="1" customWidth="1"/>
    <col min="766" max="767" width="14.5703125" style="7" bestFit="1" customWidth="1"/>
    <col min="768" max="768" width="15.140625" style="7" customWidth="1"/>
    <col min="769" max="769" width="13.140625" style="7" bestFit="1" customWidth="1"/>
    <col min="770" max="770" width="14.140625" style="7" bestFit="1" customWidth="1"/>
    <col min="771" max="771" width="11.5703125" style="7" customWidth="1"/>
    <col min="772" max="773" width="13.140625" style="7" bestFit="1" customWidth="1"/>
    <col min="774" max="774" width="14.140625" style="7" bestFit="1" customWidth="1"/>
    <col min="775" max="776" width="13.140625" style="7" customWidth="1"/>
    <col min="777" max="777" width="14.42578125" style="7" customWidth="1"/>
    <col min="778" max="778" width="13.42578125" style="7" customWidth="1"/>
    <col min="779" max="780" width="15" style="7" customWidth="1"/>
    <col min="781" max="781" width="13.5703125" style="7" bestFit="1" customWidth="1"/>
    <col min="782" max="1018" width="8.85546875" style="7"/>
    <col min="1019" max="1019" width="37.85546875" style="7" bestFit="1" customWidth="1"/>
    <col min="1020" max="1020" width="15.5703125" style="7" customWidth="1"/>
    <col min="1021" max="1021" width="16.140625" style="7" bestFit="1" customWidth="1"/>
    <col min="1022" max="1023" width="14.5703125" style="7" bestFit="1" customWidth="1"/>
    <col min="1024" max="1024" width="15.140625" style="7" customWidth="1"/>
    <col min="1025" max="1025" width="13.140625" style="7" bestFit="1" customWidth="1"/>
    <col min="1026" max="1026" width="14.140625" style="7" bestFit="1" customWidth="1"/>
    <col min="1027" max="1027" width="11.5703125" style="7" customWidth="1"/>
    <col min="1028" max="1029" width="13.140625" style="7" bestFit="1" customWidth="1"/>
    <col min="1030" max="1030" width="14.140625" style="7" bestFit="1" customWidth="1"/>
    <col min="1031" max="1032" width="13.140625" style="7" customWidth="1"/>
    <col min="1033" max="1033" width="14.42578125" style="7" customWidth="1"/>
    <col min="1034" max="1034" width="13.42578125" style="7" customWidth="1"/>
    <col min="1035" max="1036" width="15" style="7" customWidth="1"/>
    <col min="1037" max="1037" width="13.5703125" style="7" bestFit="1" customWidth="1"/>
    <col min="1038" max="1274" width="8.85546875" style="7"/>
    <col min="1275" max="1275" width="37.85546875" style="7" bestFit="1" customWidth="1"/>
    <col min="1276" max="1276" width="15.5703125" style="7" customWidth="1"/>
    <col min="1277" max="1277" width="16.140625" style="7" bestFit="1" customWidth="1"/>
    <col min="1278" max="1279" width="14.5703125" style="7" bestFit="1" customWidth="1"/>
    <col min="1280" max="1280" width="15.140625" style="7" customWidth="1"/>
    <col min="1281" max="1281" width="13.140625" style="7" bestFit="1" customWidth="1"/>
    <col min="1282" max="1282" width="14.140625" style="7" bestFit="1" customWidth="1"/>
    <col min="1283" max="1283" width="11.5703125" style="7" customWidth="1"/>
    <col min="1284" max="1285" width="13.140625" style="7" bestFit="1" customWidth="1"/>
    <col min="1286" max="1286" width="14.140625" style="7" bestFit="1" customWidth="1"/>
    <col min="1287" max="1288" width="13.140625" style="7" customWidth="1"/>
    <col min="1289" max="1289" width="14.42578125" style="7" customWidth="1"/>
    <col min="1290" max="1290" width="13.42578125" style="7" customWidth="1"/>
    <col min="1291" max="1292" width="15" style="7" customWidth="1"/>
    <col min="1293" max="1293" width="13.5703125" style="7" bestFit="1" customWidth="1"/>
    <col min="1294" max="1530" width="8.85546875" style="7"/>
    <col min="1531" max="1531" width="37.85546875" style="7" bestFit="1" customWidth="1"/>
    <col min="1532" max="1532" width="15.5703125" style="7" customWidth="1"/>
    <col min="1533" max="1533" width="16.140625" style="7" bestFit="1" customWidth="1"/>
    <col min="1534" max="1535" width="14.5703125" style="7" bestFit="1" customWidth="1"/>
    <col min="1536" max="1536" width="15.140625" style="7" customWidth="1"/>
    <col min="1537" max="1537" width="13.140625" style="7" bestFit="1" customWidth="1"/>
    <col min="1538" max="1538" width="14.140625" style="7" bestFit="1" customWidth="1"/>
    <col min="1539" max="1539" width="11.5703125" style="7" customWidth="1"/>
    <col min="1540" max="1541" width="13.140625" style="7" bestFit="1" customWidth="1"/>
    <col min="1542" max="1542" width="14.140625" style="7" bestFit="1" customWidth="1"/>
    <col min="1543" max="1544" width="13.140625" style="7" customWidth="1"/>
    <col min="1545" max="1545" width="14.42578125" style="7" customWidth="1"/>
    <col min="1546" max="1546" width="13.42578125" style="7" customWidth="1"/>
    <col min="1547" max="1548" width="15" style="7" customWidth="1"/>
    <col min="1549" max="1549" width="13.5703125" style="7" bestFit="1" customWidth="1"/>
    <col min="1550" max="1786" width="8.85546875" style="7"/>
    <col min="1787" max="1787" width="37.85546875" style="7" bestFit="1" customWidth="1"/>
    <col min="1788" max="1788" width="15.5703125" style="7" customWidth="1"/>
    <col min="1789" max="1789" width="16.140625" style="7" bestFit="1" customWidth="1"/>
    <col min="1790" max="1791" width="14.5703125" style="7" bestFit="1" customWidth="1"/>
    <col min="1792" max="1792" width="15.140625" style="7" customWidth="1"/>
    <col min="1793" max="1793" width="13.140625" style="7" bestFit="1" customWidth="1"/>
    <col min="1794" max="1794" width="14.140625" style="7" bestFit="1" customWidth="1"/>
    <col min="1795" max="1795" width="11.5703125" style="7" customWidth="1"/>
    <col min="1796" max="1797" width="13.140625" style="7" bestFit="1" customWidth="1"/>
    <col min="1798" max="1798" width="14.140625" style="7" bestFit="1" customWidth="1"/>
    <col min="1799" max="1800" width="13.140625" style="7" customWidth="1"/>
    <col min="1801" max="1801" width="14.42578125" style="7" customWidth="1"/>
    <col min="1802" max="1802" width="13.42578125" style="7" customWidth="1"/>
    <col min="1803" max="1804" width="15" style="7" customWidth="1"/>
    <col min="1805" max="1805" width="13.5703125" style="7" bestFit="1" customWidth="1"/>
    <col min="1806" max="2042" width="8.85546875" style="7"/>
    <col min="2043" max="2043" width="37.85546875" style="7" bestFit="1" customWidth="1"/>
    <col min="2044" max="2044" width="15.5703125" style="7" customWidth="1"/>
    <col min="2045" max="2045" width="16.140625" style="7" bestFit="1" customWidth="1"/>
    <col min="2046" max="2047" width="14.5703125" style="7" bestFit="1" customWidth="1"/>
    <col min="2048" max="2048" width="15.140625" style="7" customWidth="1"/>
    <col min="2049" max="2049" width="13.140625" style="7" bestFit="1" customWidth="1"/>
    <col min="2050" max="2050" width="14.140625" style="7" bestFit="1" customWidth="1"/>
    <col min="2051" max="2051" width="11.5703125" style="7" customWidth="1"/>
    <col min="2052" max="2053" width="13.140625" style="7" bestFit="1" customWidth="1"/>
    <col min="2054" max="2054" width="14.140625" style="7" bestFit="1" customWidth="1"/>
    <col min="2055" max="2056" width="13.140625" style="7" customWidth="1"/>
    <col min="2057" max="2057" width="14.42578125" style="7" customWidth="1"/>
    <col min="2058" max="2058" width="13.42578125" style="7" customWidth="1"/>
    <col min="2059" max="2060" width="15" style="7" customWidth="1"/>
    <col min="2061" max="2061" width="13.5703125" style="7" bestFit="1" customWidth="1"/>
    <col min="2062" max="2298" width="8.85546875" style="7"/>
    <col min="2299" max="2299" width="37.85546875" style="7" bestFit="1" customWidth="1"/>
    <col min="2300" max="2300" width="15.5703125" style="7" customWidth="1"/>
    <col min="2301" max="2301" width="16.140625" style="7" bestFit="1" customWidth="1"/>
    <col min="2302" max="2303" width="14.5703125" style="7" bestFit="1" customWidth="1"/>
    <col min="2304" max="2304" width="15.140625" style="7" customWidth="1"/>
    <col min="2305" max="2305" width="13.140625" style="7" bestFit="1" customWidth="1"/>
    <col min="2306" max="2306" width="14.140625" style="7" bestFit="1" customWidth="1"/>
    <col min="2307" max="2307" width="11.5703125" style="7" customWidth="1"/>
    <col min="2308" max="2309" width="13.140625" style="7" bestFit="1" customWidth="1"/>
    <col min="2310" max="2310" width="14.140625" style="7" bestFit="1" customWidth="1"/>
    <col min="2311" max="2312" width="13.140625" style="7" customWidth="1"/>
    <col min="2313" max="2313" width="14.42578125" style="7" customWidth="1"/>
    <col min="2314" max="2314" width="13.42578125" style="7" customWidth="1"/>
    <col min="2315" max="2316" width="15" style="7" customWidth="1"/>
    <col min="2317" max="2317" width="13.5703125" style="7" bestFit="1" customWidth="1"/>
    <col min="2318" max="2554" width="8.85546875" style="7"/>
    <col min="2555" max="2555" width="37.85546875" style="7" bestFit="1" customWidth="1"/>
    <col min="2556" max="2556" width="15.5703125" style="7" customWidth="1"/>
    <col min="2557" max="2557" width="16.140625" style="7" bestFit="1" customWidth="1"/>
    <col min="2558" max="2559" width="14.5703125" style="7" bestFit="1" customWidth="1"/>
    <col min="2560" max="2560" width="15.140625" style="7" customWidth="1"/>
    <col min="2561" max="2561" width="13.140625" style="7" bestFit="1" customWidth="1"/>
    <col min="2562" max="2562" width="14.140625" style="7" bestFit="1" customWidth="1"/>
    <col min="2563" max="2563" width="11.5703125" style="7" customWidth="1"/>
    <col min="2564" max="2565" width="13.140625" style="7" bestFit="1" customWidth="1"/>
    <col min="2566" max="2566" width="14.140625" style="7" bestFit="1" customWidth="1"/>
    <col min="2567" max="2568" width="13.140625" style="7" customWidth="1"/>
    <col min="2569" max="2569" width="14.42578125" style="7" customWidth="1"/>
    <col min="2570" max="2570" width="13.42578125" style="7" customWidth="1"/>
    <col min="2571" max="2572" width="15" style="7" customWidth="1"/>
    <col min="2573" max="2573" width="13.5703125" style="7" bestFit="1" customWidth="1"/>
    <col min="2574" max="2810" width="8.85546875" style="7"/>
    <col min="2811" max="2811" width="37.85546875" style="7" bestFit="1" customWidth="1"/>
    <col min="2812" max="2812" width="15.5703125" style="7" customWidth="1"/>
    <col min="2813" max="2813" width="16.140625" style="7" bestFit="1" customWidth="1"/>
    <col min="2814" max="2815" width="14.5703125" style="7" bestFit="1" customWidth="1"/>
    <col min="2816" max="2816" width="15.140625" style="7" customWidth="1"/>
    <col min="2817" max="2817" width="13.140625" style="7" bestFit="1" customWidth="1"/>
    <col min="2818" max="2818" width="14.140625" style="7" bestFit="1" customWidth="1"/>
    <col min="2819" max="2819" width="11.5703125" style="7" customWidth="1"/>
    <col min="2820" max="2821" width="13.140625" style="7" bestFit="1" customWidth="1"/>
    <col min="2822" max="2822" width="14.140625" style="7" bestFit="1" customWidth="1"/>
    <col min="2823" max="2824" width="13.140625" style="7" customWidth="1"/>
    <col min="2825" max="2825" width="14.42578125" style="7" customWidth="1"/>
    <col min="2826" max="2826" width="13.42578125" style="7" customWidth="1"/>
    <col min="2827" max="2828" width="15" style="7" customWidth="1"/>
    <col min="2829" max="2829" width="13.5703125" style="7" bestFit="1" customWidth="1"/>
    <col min="2830" max="3066" width="8.85546875" style="7"/>
    <col min="3067" max="3067" width="37.85546875" style="7" bestFit="1" customWidth="1"/>
    <col min="3068" max="3068" width="15.5703125" style="7" customWidth="1"/>
    <col min="3069" max="3069" width="16.140625" style="7" bestFit="1" customWidth="1"/>
    <col min="3070" max="3071" width="14.5703125" style="7" bestFit="1" customWidth="1"/>
    <col min="3072" max="3072" width="15.140625" style="7" customWidth="1"/>
    <col min="3073" max="3073" width="13.140625" style="7" bestFit="1" customWidth="1"/>
    <col min="3074" max="3074" width="14.140625" style="7" bestFit="1" customWidth="1"/>
    <col min="3075" max="3075" width="11.5703125" style="7" customWidth="1"/>
    <col min="3076" max="3077" width="13.140625" style="7" bestFit="1" customWidth="1"/>
    <col min="3078" max="3078" width="14.140625" style="7" bestFit="1" customWidth="1"/>
    <col min="3079" max="3080" width="13.140625" style="7" customWidth="1"/>
    <col min="3081" max="3081" width="14.42578125" style="7" customWidth="1"/>
    <col min="3082" max="3082" width="13.42578125" style="7" customWidth="1"/>
    <col min="3083" max="3084" width="15" style="7" customWidth="1"/>
    <col min="3085" max="3085" width="13.5703125" style="7" bestFit="1" customWidth="1"/>
    <col min="3086" max="3322" width="8.85546875" style="7"/>
    <col min="3323" max="3323" width="37.85546875" style="7" bestFit="1" customWidth="1"/>
    <col min="3324" max="3324" width="15.5703125" style="7" customWidth="1"/>
    <col min="3325" max="3325" width="16.140625" style="7" bestFit="1" customWidth="1"/>
    <col min="3326" max="3327" width="14.5703125" style="7" bestFit="1" customWidth="1"/>
    <col min="3328" max="3328" width="15.140625" style="7" customWidth="1"/>
    <col min="3329" max="3329" width="13.140625" style="7" bestFit="1" customWidth="1"/>
    <col min="3330" max="3330" width="14.140625" style="7" bestFit="1" customWidth="1"/>
    <col min="3331" max="3331" width="11.5703125" style="7" customWidth="1"/>
    <col min="3332" max="3333" width="13.140625" style="7" bestFit="1" customWidth="1"/>
    <col min="3334" max="3334" width="14.140625" style="7" bestFit="1" customWidth="1"/>
    <col min="3335" max="3336" width="13.140625" style="7" customWidth="1"/>
    <col min="3337" max="3337" width="14.42578125" style="7" customWidth="1"/>
    <col min="3338" max="3338" width="13.42578125" style="7" customWidth="1"/>
    <col min="3339" max="3340" width="15" style="7" customWidth="1"/>
    <col min="3341" max="3341" width="13.5703125" style="7" bestFit="1" customWidth="1"/>
    <col min="3342" max="3578" width="8.85546875" style="7"/>
    <col min="3579" max="3579" width="37.85546875" style="7" bestFit="1" customWidth="1"/>
    <col min="3580" max="3580" width="15.5703125" style="7" customWidth="1"/>
    <col min="3581" max="3581" width="16.140625" style="7" bestFit="1" customWidth="1"/>
    <col min="3582" max="3583" width="14.5703125" style="7" bestFit="1" customWidth="1"/>
    <col min="3584" max="3584" width="15.140625" style="7" customWidth="1"/>
    <col min="3585" max="3585" width="13.140625" style="7" bestFit="1" customWidth="1"/>
    <col min="3586" max="3586" width="14.140625" style="7" bestFit="1" customWidth="1"/>
    <col min="3587" max="3587" width="11.5703125" style="7" customWidth="1"/>
    <col min="3588" max="3589" width="13.140625" style="7" bestFit="1" customWidth="1"/>
    <col min="3590" max="3590" width="14.140625" style="7" bestFit="1" customWidth="1"/>
    <col min="3591" max="3592" width="13.140625" style="7" customWidth="1"/>
    <col min="3593" max="3593" width="14.42578125" style="7" customWidth="1"/>
    <col min="3594" max="3594" width="13.42578125" style="7" customWidth="1"/>
    <col min="3595" max="3596" width="15" style="7" customWidth="1"/>
    <col min="3597" max="3597" width="13.5703125" style="7" bestFit="1" customWidth="1"/>
    <col min="3598" max="3834" width="8.85546875" style="7"/>
    <col min="3835" max="3835" width="37.85546875" style="7" bestFit="1" customWidth="1"/>
    <col min="3836" max="3836" width="15.5703125" style="7" customWidth="1"/>
    <col min="3837" max="3837" width="16.140625" style="7" bestFit="1" customWidth="1"/>
    <col min="3838" max="3839" width="14.5703125" style="7" bestFit="1" customWidth="1"/>
    <col min="3840" max="3840" width="15.140625" style="7" customWidth="1"/>
    <col min="3841" max="3841" width="13.140625" style="7" bestFit="1" customWidth="1"/>
    <col min="3842" max="3842" width="14.140625" style="7" bestFit="1" customWidth="1"/>
    <col min="3843" max="3843" width="11.5703125" style="7" customWidth="1"/>
    <col min="3844" max="3845" width="13.140625" style="7" bestFit="1" customWidth="1"/>
    <col min="3846" max="3846" width="14.140625" style="7" bestFit="1" customWidth="1"/>
    <col min="3847" max="3848" width="13.140625" style="7" customWidth="1"/>
    <col min="3849" max="3849" width="14.42578125" style="7" customWidth="1"/>
    <col min="3850" max="3850" width="13.42578125" style="7" customWidth="1"/>
    <col min="3851" max="3852" width="15" style="7" customWidth="1"/>
    <col min="3853" max="3853" width="13.5703125" style="7" bestFit="1" customWidth="1"/>
    <col min="3854" max="4090" width="8.85546875" style="7"/>
    <col min="4091" max="4091" width="37.85546875" style="7" bestFit="1" customWidth="1"/>
    <col min="4092" max="4092" width="15.5703125" style="7" customWidth="1"/>
    <col min="4093" max="4093" width="16.140625" style="7" bestFit="1" customWidth="1"/>
    <col min="4094" max="4095" width="14.5703125" style="7" bestFit="1" customWidth="1"/>
    <col min="4096" max="4096" width="15.140625" style="7" customWidth="1"/>
    <col min="4097" max="4097" width="13.140625" style="7" bestFit="1" customWidth="1"/>
    <col min="4098" max="4098" width="14.140625" style="7" bestFit="1" customWidth="1"/>
    <col min="4099" max="4099" width="11.5703125" style="7" customWidth="1"/>
    <col min="4100" max="4101" width="13.140625" style="7" bestFit="1" customWidth="1"/>
    <col min="4102" max="4102" width="14.140625" style="7" bestFit="1" customWidth="1"/>
    <col min="4103" max="4104" width="13.140625" style="7" customWidth="1"/>
    <col min="4105" max="4105" width="14.42578125" style="7" customWidth="1"/>
    <col min="4106" max="4106" width="13.42578125" style="7" customWidth="1"/>
    <col min="4107" max="4108" width="15" style="7" customWidth="1"/>
    <col min="4109" max="4109" width="13.5703125" style="7" bestFit="1" customWidth="1"/>
    <col min="4110" max="4346" width="8.85546875" style="7"/>
    <col min="4347" max="4347" width="37.85546875" style="7" bestFit="1" customWidth="1"/>
    <col min="4348" max="4348" width="15.5703125" style="7" customWidth="1"/>
    <col min="4349" max="4349" width="16.140625" style="7" bestFit="1" customWidth="1"/>
    <col min="4350" max="4351" width="14.5703125" style="7" bestFit="1" customWidth="1"/>
    <col min="4352" max="4352" width="15.140625" style="7" customWidth="1"/>
    <col min="4353" max="4353" width="13.140625" style="7" bestFit="1" customWidth="1"/>
    <col min="4354" max="4354" width="14.140625" style="7" bestFit="1" customWidth="1"/>
    <col min="4355" max="4355" width="11.5703125" style="7" customWidth="1"/>
    <col min="4356" max="4357" width="13.140625" style="7" bestFit="1" customWidth="1"/>
    <col min="4358" max="4358" width="14.140625" style="7" bestFit="1" customWidth="1"/>
    <col min="4359" max="4360" width="13.140625" style="7" customWidth="1"/>
    <col min="4361" max="4361" width="14.42578125" style="7" customWidth="1"/>
    <col min="4362" max="4362" width="13.42578125" style="7" customWidth="1"/>
    <col min="4363" max="4364" width="15" style="7" customWidth="1"/>
    <col min="4365" max="4365" width="13.5703125" style="7" bestFit="1" customWidth="1"/>
    <col min="4366" max="4602" width="8.85546875" style="7"/>
    <col min="4603" max="4603" width="37.85546875" style="7" bestFit="1" customWidth="1"/>
    <col min="4604" max="4604" width="15.5703125" style="7" customWidth="1"/>
    <col min="4605" max="4605" width="16.140625" style="7" bestFit="1" customWidth="1"/>
    <col min="4606" max="4607" width="14.5703125" style="7" bestFit="1" customWidth="1"/>
    <col min="4608" max="4608" width="15.140625" style="7" customWidth="1"/>
    <col min="4609" max="4609" width="13.140625" style="7" bestFit="1" customWidth="1"/>
    <col min="4610" max="4610" width="14.140625" style="7" bestFit="1" customWidth="1"/>
    <col min="4611" max="4611" width="11.5703125" style="7" customWidth="1"/>
    <col min="4612" max="4613" width="13.140625" style="7" bestFit="1" customWidth="1"/>
    <col min="4614" max="4614" width="14.140625" style="7" bestFit="1" customWidth="1"/>
    <col min="4615" max="4616" width="13.140625" style="7" customWidth="1"/>
    <col min="4617" max="4617" width="14.42578125" style="7" customWidth="1"/>
    <col min="4618" max="4618" width="13.42578125" style="7" customWidth="1"/>
    <col min="4619" max="4620" width="15" style="7" customWidth="1"/>
    <col min="4621" max="4621" width="13.5703125" style="7" bestFit="1" customWidth="1"/>
    <col min="4622" max="4858" width="8.85546875" style="7"/>
    <col min="4859" max="4859" width="37.85546875" style="7" bestFit="1" customWidth="1"/>
    <col min="4860" max="4860" width="15.5703125" style="7" customWidth="1"/>
    <col min="4861" max="4861" width="16.140625" style="7" bestFit="1" customWidth="1"/>
    <col min="4862" max="4863" width="14.5703125" style="7" bestFit="1" customWidth="1"/>
    <col min="4864" max="4864" width="15.140625" style="7" customWidth="1"/>
    <col min="4865" max="4865" width="13.140625" style="7" bestFit="1" customWidth="1"/>
    <col min="4866" max="4866" width="14.140625" style="7" bestFit="1" customWidth="1"/>
    <col min="4867" max="4867" width="11.5703125" style="7" customWidth="1"/>
    <col min="4868" max="4869" width="13.140625" style="7" bestFit="1" customWidth="1"/>
    <col min="4870" max="4870" width="14.140625" style="7" bestFit="1" customWidth="1"/>
    <col min="4871" max="4872" width="13.140625" style="7" customWidth="1"/>
    <col min="4873" max="4873" width="14.42578125" style="7" customWidth="1"/>
    <col min="4874" max="4874" width="13.42578125" style="7" customWidth="1"/>
    <col min="4875" max="4876" width="15" style="7" customWidth="1"/>
    <col min="4877" max="4877" width="13.5703125" style="7" bestFit="1" customWidth="1"/>
    <col min="4878" max="5114" width="8.85546875" style="7"/>
    <col min="5115" max="5115" width="37.85546875" style="7" bestFit="1" customWidth="1"/>
    <col min="5116" max="5116" width="15.5703125" style="7" customWidth="1"/>
    <col min="5117" max="5117" width="16.140625" style="7" bestFit="1" customWidth="1"/>
    <col min="5118" max="5119" width="14.5703125" style="7" bestFit="1" customWidth="1"/>
    <col min="5120" max="5120" width="15.140625" style="7" customWidth="1"/>
    <col min="5121" max="5121" width="13.140625" style="7" bestFit="1" customWidth="1"/>
    <col min="5122" max="5122" width="14.140625" style="7" bestFit="1" customWidth="1"/>
    <col min="5123" max="5123" width="11.5703125" style="7" customWidth="1"/>
    <col min="5124" max="5125" width="13.140625" style="7" bestFit="1" customWidth="1"/>
    <col min="5126" max="5126" width="14.140625" style="7" bestFit="1" customWidth="1"/>
    <col min="5127" max="5128" width="13.140625" style="7" customWidth="1"/>
    <col min="5129" max="5129" width="14.42578125" style="7" customWidth="1"/>
    <col min="5130" max="5130" width="13.42578125" style="7" customWidth="1"/>
    <col min="5131" max="5132" width="15" style="7" customWidth="1"/>
    <col min="5133" max="5133" width="13.5703125" style="7" bestFit="1" customWidth="1"/>
    <col min="5134" max="5370" width="8.85546875" style="7"/>
    <col min="5371" max="5371" width="37.85546875" style="7" bestFit="1" customWidth="1"/>
    <col min="5372" max="5372" width="15.5703125" style="7" customWidth="1"/>
    <col min="5373" max="5373" width="16.140625" style="7" bestFit="1" customWidth="1"/>
    <col min="5374" max="5375" width="14.5703125" style="7" bestFit="1" customWidth="1"/>
    <col min="5376" max="5376" width="15.140625" style="7" customWidth="1"/>
    <col min="5377" max="5377" width="13.140625" style="7" bestFit="1" customWidth="1"/>
    <col min="5378" max="5378" width="14.140625" style="7" bestFit="1" customWidth="1"/>
    <col min="5379" max="5379" width="11.5703125" style="7" customWidth="1"/>
    <col min="5380" max="5381" width="13.140625" style="7" bestFit="1" customWidth="1"/>
    <col min="5382" max="5382" width="14.140625" style="7" bestFit="1" customWidth="1"/>
    <col min="5383" max="5384" width="13.140625" style="7" customWidth="1"/>
    <col min="5385" max="5385" width="14.42578125" style="7" customWidth="1"/>
    <col min="5386" max="5386" width="13.42578125" style="7" customWidth="1"/>
    <col min="5387" max="5388" width="15" style="7" customWidth="1"/>
    <col min="5389" max="5389" width="13.5703125" style="7" bestFit="1" customWidth="1"/>
    <col min="5390" max="5626" width="8.85546875" style="7"/>
    <col min="5627" max="5627" width="37.85546875" style="7" bestFit="1" customWidth="1"/>
    <col min="5628" max="5628" width="15.5703125" style="7" customWidth="1"/>
    <col min="5629" max="5629" width="16.140625" style="7" bestFit="1" customWidth="1"/>
    <col min="5630" max="5631" width="14.5703125" style="7" bestFit="1" customWidth="1"/>
    <col min="5632" max="5632" width="15.140625" style="7" customWidth="1"/>
    <col min="5633" max="5633" width="13.140625" style="7" bestFit="1" customWidth="1"/>
    <col min="5634" max="5634" width="14.140625" style="7" bestFit="1" customWidth="1"/>
    <col min="5635" max="5635" width="11.5703125" style="7" customWidth="1"/>
    <col min="5636" max="5637" width="13.140625" style="7" bestFit="1" customWidth="1"/>
    <col min="5638" max="5638" width="14.140625" style="7" bestFit="1" customWidth="1"/>
    <col min="5639" max="5640" width="13.140625" style="7" customWidth="1"/>
    <col min="5641" max="5641" width="14.42578125" style="7" customWidth="1"/>
    <col min="5642" max="5642" width="13.42578125" style="7" customWidth="1"/>
    <col min="5643" max="5644" width="15" style="7" customWidth="1"/>
    <col min="5645" max="5645" width="13.5703125" style="7" bestFit="1" customWidth="1"/>
    <col min="5646" max="5882" width="8.85546875" style="7"/>
    <col min="5883" max="5883" width="37.85546875" style="7" bestFit="1" customWidth="1"/>
    <col min="5884" max="5884" width="15.5703125" style="7" customWidth="1"/>
    <col min="5885" max="5885" width="16.140625" style="7" bestFit="1" customWidth="1"/>
    <col min="5886" max="5887" width="14.5703125" style="7" bestFit="1" customWidth="1"/>
    <col min="5888" max="5888" width="15.140625" style="7" customWidth="1"/>
    <col min="5889" max="5889" width="13.140625" style="7" bestFit="1" customWidth="1"/>
    <col min="5890" max="5890" width="14.140625" style="7" bestFit="1" customWidth="1"/>
    <col min="5891" max="5891" width="11.5703125" style="7" customWidth="1"/>
    <col min="5892" max="5893" width="13.140625" style="7" bestFit="1" customWidth="1"/>
    <col min="5894" max="5894" width="14.140625" style="7" bestFit="1" customWidth="1"/>
    <col min="5895" max="5896" width="13.140625" style="7" customWidth="1"/>
    <col min="5897" max="5897" width="14.42578125" style="7" customWidth="1"/>
    <col min="5898" max="5898" width="13.42578125" style="7" customWidth="1"/>
    <col min="5899" max="5900" width="15" style="7" customWidth="1"/>
    <col min="5901" max="5901" width="13.5703125" style="7" bestFit="1" customWidth="1"/>
    <col min="5902" max="6138" width="8.85546875" style="7"/>
    <col min="6139" max="6139" width="37.85546875" style="7" bestFit="1" customWidth="1"/>
    <col min="6140" max="6140" width="15.5703125" style="7" customWidth="1"/>
    <col min="6141" max="6141" width="16.140625" style="7" bestFit="1" customWidth="1"/>
    <col min="6142" max="6143" width="14.5703125" style="7" bestFit="1" customWidth="1"/>
    <col min="6144" max="6144" width="15.140625" style="7" customWidth="1"/>
    <col min="6145" max="6145" width="13.140625" style="7" bestFit="1" customWidth="1"/>
    <col min="6146" max="6146" width="14.140625" style="7" bestFit="1" customWidth="1"/>
    <col min="6147" max="6147" width="11.5703125" style="7" customWidth="1"/>
    <col min="6148" max="6149" width="13.140625" style="7" bestFit="1" customWidth="1"/>
    <col min="6150" max="6150" width="14.140625" style="7" bestFit="1" customWidth="1"/>
    <col min="6151" max="6152" width="13.140625" style="7" customWidth="1"/>
    <col min="6153" max="6153" width="14.42578125" style="7" customWidth="1"/>
    <col min="6154" max="6154" width="13.42578125" style="7" customWidth="1"/>
    <col min="6155" max="6156" width="15" style="7" customWidth="1"/>
    <col min="6157" max="6157" width="13.5703125" style="7" bestFit="1" customWidth="1"/>
    <col min="6158" max="6394" width="8.85546875" style="7"/>
    <col min="6395" max="6395" width="37.85546875" style="7" bestFit="1" customWidth="1"/>
    <col min="6396" max="6396" width="15.5703125" style="7" customWidth="1"/>
    <col min="6397" max="6397" width="16.140625" style="7" bestFit="1" customWidth="1"/>
    <col min="6398" max="6399" width="14.5703125" style="7" bestFit="1" customWidth="1"/>
    <col min="6400" max="6400" width="15.140625" style="7" customWidth="1"/>
    <col min="6401" max="6401" width="13.140625" style="7" bestFit="1" customWidth="1"/>
    <col min="6402" max="6402" width="14.140625" style="7" bestFit="1" customWidth="1"/>
    <col min="6403" max="6403" width="11.5703125" style="7" customWidth="1"/>
    <col min="6404" max="6405" width="13.140625" style="7" bestFit="1" customWidth="1"/>
    <col min="6406" max="6406" width="14.140625" style="7" bestFit="1" customWidth="1"/>
    <col min="6407" max="6408" width="13.140625" style="7" customWidth="1"/>
    <col min="6409" max="6409" width="14.42578125" style="7" customWidth="1"/>
    <col min="6410" max="6410" width="13.42578125" style="7" customWidth="1"/>
    <col min="6411" max="6412" width="15" style="7" customWidth="1"/>
    <col min="6413" max="6413" width="13.5703125" style="7" bestFit="1" customWidth="1"/>
    <col min="6414" max="6650" width="8.85546875" style="7"/>
    <col min="6651" max="6651" width="37.85546875" style="7" bestFit="1" customWidth="1"/>
    <col min="6652" max="6652" width="15.5703125" style="7" customWidth="1"/>
    <col min="6653" max="6653" width="16.140625" style="7" bestFit="1" customWidth="1"/>
    <col min="6654" max="6655" width="14.5703125" style="7" bestFit="1" customWidth="1"/>
    <col min="6656" max="6656" width="15.140625" style="7" customWidth="1"/>
    <col min="6657" max="6657" width="13.140625" style="7" bestFit="1" customWidth="1"/>
    <col min="6658" max="6658" width="14.140625" style="7" bestFit="1" customWidth="1"/>
    <col min="6659" max="6659" width="11.5703125" style="7" customWidth="1"/>
    <col min="6660" max="6661" width="13.140625" style="7" bestFit="1" customWidth="1"/>
    <col min="6662" max="6662" width="14.140625" style="7" bestFit="1" customWidth="1"/>
    <col min="6663" max="6664" width="13.140625" style="7" customWidth="1"/>
    <col min="6665" max="6665" width="14.42578125" style="7" customWidth="1"/>
    <col min="6666" max="6666" width="13.42578125" style="7" customWidth="1"/>
    <col min="6667" max="6668" width="15" style="7" customWidth="1"/>
    <col min="6669" max="6669" width="13.5703125" style="7" bestFit="1" customWidth="1"/>
    <col min="6670" max="6906" width="8.85546875" style="7"/>
    <col min="6907" max="6907" width="37.85546875" style="7" bestFit="1" customWidth="1"/>
    <col min="6908" max="6908" width="15.5703125" style="7" customWidth="1"/>
    <col min="6909" max="6909" width="16.140625" style="7" bestFit="1" customWidth="1"/>
    <col min="6910" max="6911" width="14.5703125" style="7" bestFit="1" customWidth="1"/>
    <col min="6912" max="6912" width="15.140625" style="7" customWidth="1"/>
    <col min="6913" max="6913" width="13.140625" style="7" bestFit="1" customWidth="1"/>
    <col min="6914" max="6914" width="14.140625" style="7" bestFit="1" customWidth="1"/>
    <col min="6915" max="6915" width="11.5703125" style="7" customWidth="1"/>
    <col min="6916" max="6917" width="13.140625" style="7" bestFit="1" customWidth="1"/>
    <col min="6918" max="6918" width="14.140625" style="7" bestFit="1" customWidth="1"/>
    <col min="6919" max="6920" width="13.140625" style="7" customWidth="1"/>
    <col min="6921" max="6921" width="14.42578125" style="7" customWidth="1"/>
    <col min="6922" max="6922" width="13.42578125" style="7" customWidth="1"/>
    <col min="6923" max="6924" width="15" style="7" customWidth="1"/>
    <col min="6925" max="6925" width="13.5703125" style="7" bestFit="1" customWidth="1"/>
    <col min="6926" max="7162" width="8.85546875" style="7"/>
    <col min="7163" max="7163" width="37.85546875" style="7" bestFit="1" customWidth="1"/>
    <col min="7164" max="7164" width="15.5703125" style="7" customWidth="1"/>
    <col min="7165" max="7165" width="16.140625" style="7" bestFit="1" customWidth="1"/>
    <col min="7166" max="7167" width="14.5703125" style="7" bestFit="1" customWidth="1"/>
    <col min="7168" max="7168" width="15.140625" style="7" customWidth="1"/>
    <col min="7169" max="7169" width="13.140625" style="7" bestFit="1" customWidth="1"/>
    <col min="7170" max="7170" width="14.140625" style="7" bestFit="1" customWidth="1"/>
    <col min="7171" max="7171" width="11.5703125" style="7" customWidth="1"/>
    <col min="7172" max="7173" width="13.140625" style="7" bestFit="1" customWidth="1"/>
    <col min="7174" max="7174" width="14.140625" style="7" bestFit="1" customWidth="1"/>
    <col min="7175" max="7176" width="13.140625" style="7" customWidth="1"/>
    <col min="7177" max="7177" width="14.42578125" style="7" customWidth="1"/>
    <col min="7178" max="7178" width="13.42578125" style="7" customWidth="1"/>
    <col min="7179" max="7180" width="15" style="7" customWidth="1"/>
    <col min="7181" max="7181" width="13.5703125" style="7" bestFit="1" customWidth="1"/>
    <col min="7182" max="7418" width="8.85546875" style="7"/>
    <col min="7419" max="7419" width="37.85546875" style="7" bestFit="1" customWidth="1"/>
    <col min="7420" max="7420" width="15.5703125" style="7" customWidth="1"/>
    <col min="7421" max="7421" width="16.140625" style="7" bestFit="1" customWidth="1"/>
    <col min="7422" max="7423" width="14.5703125" style="7" bestFit="1" customWidth="1"/>
    <col min="7424" max="7424" width="15.140625" style="7" customWidth="1"/>
    <col min="7425" max="7425" width="13.140625" style="7" bestFit="1" customWidth="1"/>
    <col min="7426" max="7426" width="14.140625" style="7" bestFit="1" customWidth="1"/>
    <col min="7427" max="7427" width="11.5703125" style="7" customWidth="1"/>
    <col min="7428" max="7429" width="13.140625" style="7" bestFit="1" customWidth="1"/>
    <col min="7430" max="7430" width="14.140625" style="7" bestFit="1" customWidth="1"/>
    <col min="7431" max="7432" width="13.140625" style="7" customWidth="1"/>
    <col min="7433" max="7433" width="14.42578125" style="7" customWidth="1"/>
    <col min="7434" max="7434" width="13.42578125" style="7" customWidth="1"/>
    <col min="7435" max="7436" width="15" style="7" customWidth="1"/>
    <col min="7437" max="7437" width="13.5703125" style="7" bestFit="1" customWidth="1"/>
    <col min="7438" max="7674" width="8.85546875" style="7"/>
    <col min="7675" max="7675" width="37.85546875" style="7" bestFit="1" customWidth="1"/>
    <col min="7676" max="7676" width="15.5703125" style="7" customWidth="1"/>
    <col min="7677" max="7677" width="16.140625" style="7" bestFit="1" customWidth="1"/>
    <col min="7678" max="7679" width="14.5703125" style="7" bestFit="1" customWidth="1"/>
    <col min="7680" max="7680" width="15.140625" style="7" customWidth="1"/>
    <col min="7681" max="7681" width="13.140625" style="7" bestFit="1" customWidth="1"/>
    <col min="7682" max="7682" width="14.140625" style="7" bestFit="1" customWidth="1"/>
    <col min="7683" max="7683" width="11.5703125" style="7" customWidth="1"/>
    <col min="7684" max="7685" width="13.140625" style="7" bestFit="1" customWidth="1"/>
    <col min="7686" max="7686" width="14.140625" style="7" bestFit="1" customWidth="1"/>
    <col min="7687" max="7688" width="13.140625" style="7" customWidth="1"/>
    <col min="7689" max="7689" width="14.42578125" style="7" customWidth="1"/>
    <col min="7690" max="7690" width="13.42578125" style="7" customWidth="1"/>
    <col min="7691" max="7692" width="15" style="7" customWidth="1"/>
    <col min="7693" max="7693" width="13.5703125" style="7" bestFit="1" customWidth="1"/>
    <col min="7694" max="7930" width="8.85546875" style="7"/>
    <col min="7931" max="7931" width="37.85546875" style="7" bestFit="1" customWidth="1"/>
    <col min="7932" max="7932" width="15.5703125" style="7" customWidth="1"/>
    <col min="7933" max="7933" width="16.140625" style="7" bestFit="1" customWidth="1"/>
    <col min="7934" max="7935" width="14.5703125" style="7" bestFit="1" customWidth="1"/>
    <col min="7936" max="7936" width="15.140625" style="7" customWidth="1"/>
    <col min="7937" max="7937" width="13.140625" style="7" bestFit="1" customWidth="1"/>
    <col min="7938" max="7938" width="14.140625" style="7" bestFit="1" customWidth="1"/>
    <col min="7939" max="7939" width="11.5703125" style="7" customWidth="1"/>
    <col min="7940" max="7941" width="13.140625" style="7" bestFit="1" customWidth="1"/>
    <col min="7942" max="7942" width="14.140625" style="7" bestFit="1" customWidth="1"/>
    <col min="7943" max="7944" width="13.140625" style="7" customWidth="1"/>
    <col min="7945" max="7945" width="14.42578125" style="7" customWidth="1"/>
    <col min="7946" max="7946" width="13.42578125" style="7" customWidth="1"/>
    <col min="7947" max="7948" width="15" style="7" customWidth="1"/>
    <col min="7949" max="7949" width="13.5703125" style="7" bestFit="1" customWidth="1"/>
    <col min="7950" max="8186" width="8.85546875" style="7"/>
    <col min="8187" max="8187" width="37.85546875" style="7" bestFit="1" customWidth="1"/>
    <col min="8188" max="8188" width="15.5703125" style="7" customWidth="1"/>
    <col min="8189" max="8189" width="16.140625" style="7" bestFit="1" customWidth="1"/>
    <col min="8190" max="8191" width="14.5703125" style="7" bestFit="1" customWidth="1"/>
    <col min="8192" max="8192" width="15.140625" style="7" customWidth="1"/>
    <col min="8193" max="8193" width="13.140625" style="7" bestFit="1" customWidth="1"/>
    <col min="8194" max="8194" width="14.140625" style="7" bestFit="1" customWidth="1"/>
    <col min="8195" max="8195" width="11.5703125" style="7" customWidth="1"/>
    <col min="8196" max="8197" width="13.140625" style="7" bestFit="1" customWidth="1"/>
    <col min="8198" max="8198" width="14.140625" style="7" bestFit="1" customWidth="1"/>
    <col min="8199" max="8200" width="13.140625" style="7" customWidth="1"/>
    <col min="8201" max="8201" width="14.42578125" style="7" customWidth="1"/>
    <col min="8202" max="8202" width="13.42578125" style="7" customWidth="1"/>
    <col min="8203" max="8204" width="15" style="7" customWidth="1"/>
    <col min="8205" max="8205" width="13.5703125" style="7" bestFit="1" customWidth="1"/>
    <col min="8206" max="8442" width="8.85546875" style="7"/>
    <col min="8443" max="8443" width="37.85546875" style="7" bestFit="1" customWidth="1"/>
    <col min="8444" max="8444" width="15.5703125" style="7" customWidth="1"/>
    <col min="8445" max="8445" width="16.140625" style="7" bestFit="1" customWidth="1"/>
    <col min="8446" max="8447" width="14.5703125" style="7" bestFit="1" customWidth="1"/>
    <col min="8448" max="8448" width="15.140625" style="7" customWidth="1"/>
    <col min="8449" max="8449" width="13.140625" style="7" bestFit="1" customWidth="1"/>
    <col min="8450" max="8450" width="14.140625" style="7" bestFit="1" customWidth="1"/>
    <col min="8451" max="8451" width="11.5703125" style="7" customWidth="1"/>
    <col min="8452" max="8453" width="13.140625" style="7" bestFit="1" customWidth="1"/>
    <col min="8454" max="8454" width="14.140625" style="7" bestFit="1" customWidth="1"/>
    <col min="8455" max="8456" width="13.140625" style="7" customWidth="1"/>
    <col min="8457" max="8457" width="14.42578125" style="7" customWidth="1"/>
    <col min="8458" max="8458" width="13.42578125" style="7" customWidth="1"/>
    <col min="8459" max="8460" width="15" style="7" customWidth="1"/>
    <col min="8461" max="8461" width="13.5703125" style="7" bestFit="1" customWidth="1"/>
    <col min="8462" max="8698" width="8.85546875" style="7"/>
    <col min="8699" max="8699" width="37.85546875" style="7" bestFit="1" customWidth="1"/>
    <col min="8700" max="8700" width="15.5703125" style="7" customWidth="1"/>
    <col min="8701" max="8701" width="16.140625" style="7" bestFit="1" customWidth="1"/>
    <col min="8702" max="8703" width="14.5703125" style="7" bestFit="1" customWidth="1"/>
    <col min="8704" max="8704" width="15.140625" style="7" customWidth="1"/>
    <col min="8705" max="8705" width="13.140625" style="7" bestFit="1" customWidth="1"/>
    <col min="8706" max="8706" width="14.140625" style="7" bestFit="1" customWidth="1"/>
    <col min="8707" max="8707" width="11.5703125" style="7" customWidth="1"/>
    <col min="8708" max="8709" width="13.140625" style="7" bestFit="1" customWidth="1"/>
    <col min="8710" max="8710" width="14.140625" style="7" bestFit="1" customWidth="1"/>
    <col min="8711" max="8712" width="13.140625" style="7" customWidth="1"/>
    <col min="8713" max="8713" width="14.42578125" style="7" customWidth="1"/>
    <col min="8714" max="8714" width="13.42578125" style="7" customWidth="1"/>
    <col min="8715" max="8716" width="15" style="7" customWidth="1"/>
    <col min="8717" max="8717" width="13.5703125" style="7" bestFit="1" customWidth="1"/>
    <col min="8718" max="8954" width="8.85546875" style="7"/>
    <col min="8955" max="8955" width="37.85546875" style="7" bestFit="1" customWidth="1"/>
    <col min="8956" max="8956" width="15.5703125" style="7" customWidth="1"/>
    <col min="8957" max="8957" width="16.140625" style="7" bestFit="1" customWidth="1"/>
    <col min="8958" max="8959" width="14.5703125" style="7" bestFit="1" customWidth="1"/>
    <col min="8960" max="8960" width="15.140625" style="7" customWidth="1"/>
    <col min="8961" max="8961" width="13.140625" style="7" bestFit="1" customWidth="1"/>
    <col min="8962" max="8962" width="14.140625" style="7" bestFit="1" customWidth="1"/>
    <col min="8963" max="8963" width="11.5703125" style="7" customWidth="1"/>
    <col min="8964" max="8965" width="13.140625" style="7" bestFit="1" customWidth="1"/>
    <col min="8966" max="8966" width="14.140625" style="7" bestFit="1" customWidth="1"/>
    <col min="8967" max="8968" width="13.140625" style="7" customWidth="1"/>
    <col min="8969" max="8969" width="14.42578125" style="7" customWidth="1"/>
    <col min="8970" max="8970" width="13.42578125" style="7" customWidth="1"/>
    <col min="8971" max="8972" width="15" style="7" customWidth="1"/>
    <col min="8973" max="8973" width="13.5703125" style="7" bestFit="1" customWidth="1"/>
    <col min="8974" max="9210" width="8.85546875" style="7"/>
    <col min="9211" max="9211" width="37.85546875" style="7" bestFit="1" customWidth="1"/>
    <col min="9212" max="9212" width="15.5703125" style="7" customWidth="1"/>
    <col min="9213" max="9213" width="16.140625" style="7" bestFit="1" customWidth="1"/>
    <col min="9214" max="9215" width="14.5703125" style="7" bestFit="1" customWidth="1"/>
    <col min="9216" max="9216" width="15.140625" style="7" customWidth="1"/>
    <col min="9217" max="9217" width="13.140625" style="7" bestFit="1" customWidth="1"/>
    <col min="9218" max="9218" width="14.140625" style="7" bestFit="1" customWidth="1"/>
    <col min="9219" max="9219" width="11.5703125" style="7" customWidth="1"/>
    <col min="9220" max="9221" width="13.140625" style="7" bestFit="1" customWidth="1"/>
    <col min="9222" max="9222" width="14.140625" style="7" bestFit="1" customWidth="1"/>
    <col min="9223" max="9224" width="13.140625" style="7" customWidth="1"/>
    <col min="9225" max="9225" width="14.42578125" style="7" customWidth="1"/>
    <col min="9226" max="9226" width="13.42578125" style="7" customWidth="1"/>
    <col min="9227" max="9228" width="15" style="7" customWidth="1"/>
    <col min="9229" max="9229" width="13.5703125" style="7" bestFit="1" customWidth="1"/>
    <col min="9230" max="9466" width="8.85546875" style="7"/>
    <col min="9467" max="9467" width="37.85546875" style="7" bestFit="1" customWidth="1"/>
    <col min="9468" max="9468" width="15.5703125" style="7" customWidth="1"/>
    <col min="9469" max="9469" width="16.140625" style="7" bestFit="1" customWidth="1"/>
    <col min="9470" max="9471" width="14.5703125" style="7" bestFit="1" customWidth="1"/>
    <col min="9472" max="9472" width="15.140625" style="7" customWidth="1"/>
    <col min="9473" max="9473" width="13.140625" style="7" bestFit="1" customWidth="1"/>
    <col min="9474" max="9474" width="14.140625" style="7" bestFit="1" customWidth="1"/>
    <col min="9475" max="9475" width="11.5703125" style="7" customWidth="1"/>
    <col min="9476" max="9477" width="13.140625" style="7" bestFit="1" customWidth="1"/>
    <col min="9478" max="9478" width="14.140625" style="7" bestFit="1" customWidth="1"/>
    <col min="9479" max="9480" width="13.140625" style="7" customWidth="1"/>
    <col min="9481" max="9481" width="14.42578125" style="7" customWidth="1"/>
    <col min="9482" max="9482" width="13.42578125" style="7" customWidth="1"/>
    <col min="9483" max="9484" width="15" style="7" customWidth="1"/>
    <col min="9485" max="9485" width="13.5703125" style="7" bestFit="1" customWidth="1"/>
    <col min="9486" max="9722" width="8.85546875" style="7"/>
    <col min="9723" max="9723" width="37.85546875" style="7" bestFit="1" customWidth="1"/>
    <col min="9724" max="9724" width="15.5703125" style="7" customWidth="1"/>
    <col min="9725" max="9725" width="16.140625" style="7" bestFit="1" customWidth="1"/>
    <col min="9726" max="9727" width="14.5703125" style="7" bestFit="1" customWidth="1"/>
    <col min="9728" max="9728" width="15.140625" style="7" customWidth="1"/>
    <col min="9729" max="9729" width="13.140625" style="7" bestFit="1" customWidth="1"/>
    <col min="9730" max="9730" width="14.140625" style="7" bestFit="1" customWidth="1"/>
    <col min="9731" max="9731" width="11.5703125" style="7" customWidth="1"/>
    <col min="9732" max="9733" width="13.140625" style="7" bestFit="1" customWidth="1"/>
    <col min="9734" max="9734" width="14.140625" style="7" bestFit="1" customWidth="1"/>
    <col min="9735" max="9736" width="13.140625" style="7" customWidth="1"/>
    <col min="9737" max="9737" width="14.42578125" style="7" customWidth="1"/>
    <col min="9738" max="9738" width="13.42578125" style="7" customWidth="1"/>
    <col min="9739" max="9740" width="15" style="7" customWidth="1"/>
    <col min="9741" max="9741" width="13.5703125" style="7" bestFit="1" customWidth="1"/>
    <col min="9742" max="9978" width="8.85546875" style="7"/>
    <col min="9979" max="9979" width="37.85546875" style="7" bestFit="1" customWidth="1"/>
    <col min="9980" max="9980" width="15.5703125" style="7" customWidth="1"/>
    <col min="9981" max="9981" width="16.140625" style="7" bestFit="1" customWidth="1"/>
    <col min="9982" max="9983" width="14.5703125" style="7" bestFit="1" customWidth="1"/>
    <col min="9984" max="9984" width="15.140625" style="7" customWidth="1"/>
    <col min="9985" max="9985" width="13.140625" style="7" bestFit="1" customWidth="1"/>
    <col min="9986" max="9986" width="14.140625" style="7" bestFit="1" customWidth="1"/>
    <col min="9987" max="9987" width="11.5703125" style="7" customWidth="1"/>
    <col min="9988" max="9989" width="13.140625" style="7" bestFit="1" customWidth="1"/>
    <col min="9990" max="9990" width="14.140625" style="7" bestFit="1" customWidth="1"/>
    <col min="9991" max="9992" width="13.140625" style="7" customWidth="1"/>
    <col min="9993" max="9993" width="14.42578125" style="7" customWidth="1"/>
    <col min="9994" max="9994" width="13.42578125" style="7" customWidth="1"/>
    <col min="9995" max="9996" width="15" style="7" customWidth="1"/>
    <col min="9997" max="9997" width="13.5703125" style="7" bestFit="1" customWidth="1"/>
    <col min="9998" max="10234" width="8.85546875" style="7"/>
    <col min="10235" max="10235" width="37.85546875" style="7" bestFit="1" customWidth="1"/>
    <col min="10236" max="10236" width="15.5703125" style="7" customWidth="1"/>
    <col min="10237" max="10237" width="16.140625" style="7" bestFit="1" customWidth="1"/>
    <col min="10238" max="10239" width="14.5703125" style="7" bestFit="1" customWidth="1"/>
    <col min="10240" max="10240" width="15.140625" style="7" customWidth="1"/>
    <col min="10241" max="10241" width="13.140625" style="7" bestFit="1" customWidth="1"/>
    <col min="10242" max="10242" width="14.140625" style="7" bestFit="1" customWidth="1"/>
    <col min="10243" max="10243" width="11.5703125" style="7" customWidth="1"/>
    <col min="10244" max="10245" width="13.140625" style="7" bestFit="1" customWidth="1"/>
    <col min="10246" max="10246" width="14.140625" style="7" bestFit="1" customWidth="1"/>
    <col min="10247" max="10248" width="13.140625" style="7" customWidth="1"/>
    <col min="10249" max="10249" width="14.42578125" style="7" customWidth="1"/>
    <col min="10250" max="10250" width="13.42578125" style="7" customWidth="1"/>
    <col min="10251" max="10252" width="15" style="7" customWidth="1"/>
    <col min="10253" max="10253" width="13.5703125" style="7" bestFit="1" customWidth="1"/>
    <col min="10254" max="10490" width="8.85546875" style="7"/>
    <col min="10491" max="10491" width="37.85546875" style="7" bestFit="1" customWidth="1"/>
    <col min="10492" max="10492" width="15.5703125" style="7" customWidth="1"/>
    <col min="10493" max="10493" width="16.140625" style="7" bestFit="1" customWidth="1"/>
    <col min="10494" max="10495" width="14.5703125" style="7" bestFit="1" customWidth="1"/>
    <col min="10496" max="10496" width="15.140625" style="7" customWidth="1"/>
    <col min="10497" max="10497" width="13.140625" style="7" bestFit="1" customWidth="1"/>
    <col min="10498" max="10498" width="14.140625" style="7" bestFit="1" customWidth="1"/>
    <col min="10499" max="10499" width="11.5703125" style="7" customWidth="1"/>
    <col min="10500" max="10501" width="13.140625" style="7" bestFit="1" customWidth="1"/>
    <col min="10502" max="10502" width="14.140625" style="7" bestFit="1" customWidth="1"/>
    <col min="10503" max="10504" width="13.140625" style="7" customWidth="1"/>
    <col min="10505" max="10505" width="14.42578125" style="7" customWidth="1"/>
    <col min="10506" max="10506" width="13.42578125" style="7" customWidth="1"/>
    <col min="10507" max="10508" width="15" style="7" customWidth="1"/>
    <col min="10509" max="10509" width="13.5703125" style="7" bestFit="1" customWidth="1"/>
    <col min="10510" max="10746" width="8.85546875" style="7"/>
    <col min="10747" max="10747" width="37.85546875" style="7" bestFit="1" customWidth="1"/>
    <col min="10748" max="10748" width="15.5703125" style="7" customWidth="1"/>
    <col min="10749" max="10749" width="16.140625" style="7" bestFit="1" customWidth="1"/>
    <col min="10750" max="10751" width="14.5703125" style="7" bestFit="1" customWidth="1"/>
    <col min="10752" max="10752" width="15.140625" style="7" customWidth="1"/>
    <col min="10753" max="10753" width="13.140625" style="7" bestFit="1" customWidth="1"/>
    <col min="10754" max="10754" width="14.140625" style="7" bestFit="1" customWidth="1"/>
    <col min="10755" max="10755" width="11.5703125" style="7" customWidth="1"/>
    <col min="10756" max="10757" width="13.140625" style="7" bestFit="1" customWidth="1"/>
    <col min="10758" max="10758" width="14.140625" style="7" bestFit="1" customWidth="1"/>
    <col min="10759" max="10760" width="13.140625" style="7" customWidth="1"/>
    <col min="10761" max="10761" width="14.42578125" style="7" customWidth="1"/>
    <col min="10762" max="10762" width="13.42578125" style="7" customWidth="1"/>
    <col min="10763" max="10764" width="15" style="7" customWidth="1"/>
    <col min="10765" max="10765" width="13.5703125" style="7" bestFit="1" customWidth="1"/>
    <col min="10766" max="11002" width="8.85546875" style="7"/>
    <col min="11003" max="11003" width="37.85546875" style="7" bestFit="1" customWidth="1"/>
    <col min="11004" max="11004" width="15.5703125" style="7" customWidth="1"/>
    <col min="11005" max="11005" width="16.140625" style="7" bestFit="1" customWidth="1"/>
    <col min="11006" max="11007" width="14.5703125" style="7" bestFit="1" customWidth="1"/>
    <col min="11008" max="11008" width="15.140625" style="7" customWidth="1"/>
    <col min="11009" max="11009" width="13.140625" style="7" bestFit="1" customWidth="1"/>
    <col min="11010" max="11010" width="14.140625" style="7" bestFit="1" customWidth="1"/>
    <col min="11011" max="11011" width="11.5703125" style="7" customWidth="1"/>
    <col min="11012" max="11013" width="13.140625" style="7" bestFit="1" customWidth="1"/>
    <col min="11014" max="11014" width="14.140625" style="7" bestFit="1" customWidth="1"/>
    <col min="11015" max="11016" width="13.140625" style="7" customWidth="1"/>
    <col min="11017" max="11017" width="14.42578125" style="7" customWidth="1"/>
    <col min="11018" max="11018" width="13.42578125" style="7" customWidth="1"/>
    <col min="11019" max="11020" width="15" style="7" customWidth="1"/>
    <col min="11021" max="11021" width="13.5703125" style="7" bestFit="1" customWidth="1"/>
    <col min="11022" max="11258" width="8.85546875" style="7"/>
    <col min="11259" max="11259" width="37.85546875" style="7" bestFit="1" customWidth="1"/>
    <col min="11260" max="11260" width="15.5703125" style="7" customWidth="1"/>
    <col min="11261" max="11261" width="16.140625" style="7" bestFit="1" customWidth="1"/>
    <col min="11262" max="11263" width="14.5703125" style="7" bestFit="1" customWidth="1"/>
    <col min="11264" max="11264" width="15.140625" style="7" customWidth="1"/>
    <col min="11265" max="11265" width="13.140625" style="7" bestFit="1" customWidth="1"/>
    <col min="11266" max="11266" width="14.140625" style="7" bestFit="1" customWidth="1"/>
    <col min="11267" max="11267" width="11.5703125" style="7" customWidth="1"/>
    <col min="11268" max="11269" width="13.140625" style="7" bestFit="1" customWidth="1"/>
    <col min="11270" max="11270" width="14.140625" style="7" bestFit="1" customWidth="1"/>
    <col min="11271" max="11272" width="13.140625" style="7" customWidth="1"/>
    <col min="11273" max="11273" width="14.42578125" style="7" customWidth="1"/>
    <col min="11274" max="11274" width="13.42578125" style="7" customWidth="1"/>
    <col min="11275" max="11276" width="15" style="7" customWidth="1"/>
    <col min="11277" max="11277" width="13.5703125" style="7" bestFit="1" customWidth="1"/>
    <col min="11278" max="11514" width="8.85546875" style="7"/>
    <col min="11515" max="11515" width="37.85546875" style="7" bestFit="1" customWidth="1"/>
    <col min="11516" max="11516" width="15.5703125" style="7" customWidth="1"/>
    <col min="11517" max="11517" width="16.140625" style="7" bestFit="1" customWidth="1"/>
    <col min="11518" max="11519" width="14.5703125" style="7" bestFit="1" customWidth="1"/>
    <col min="11520" max="11520" width="15.140625" style="7" customWidth="1"/>
    <col min="11521" max="11521" width="13.140625" style="7" bestFit="1" customWidth="1"/>
    <col min="11522" max="11522" width="14.140625" style="7" bestFit="1" customWidth="1"/>
    <col min="11523" max="11523" width="11.5703125" style="7" customWidth="1"/>
    <col min="11524" max="11525" width="13.140625" style="7" bestFit="1" customWidth="1"/>
    <col min="11526" max="11526" width="14.140625" style="7" bestFit="1" customWidth="1"/>
    <col min="11527" max="11528" width="13.140625" style="7" customWidth="1"/>
    <col min="11529" max="11529" width="14.42578125" style="7" customWidth="1"/>
    <col min="11530" max="11530" width="13.42578125" style="7" customWidth="1"/>
    <col min="11531" max="11532" width="15" style="7" customWidth="1"/>
    <col min="11533" max="11533" width="13.5703125" style="7" bestFit="1" customWidth="1"/>
    <col min="11534" max="11770" width="8.85546875" style="7"/>
    <col min="11771" max="11771" width="37.85546875" style="7" bestFit="1" customWidth="1"/>
    <col min="11772" max="11772" width="15.5703125" style="7" customWidth="1"/>
    <col min="11773" max="11773" width="16.140625" style="7" bestFit="1" customWidth="1"/>
    <col min="11774" max="11775" width="14.5703125" style="7" bestFit="1" customWidth="1"/>
    <col min="11776" max="11776" width="15.140625" style="7" customWidth="1"/>
    <col min="11777" max="11777" width="13.140625" style="7" bestFit="1" customWidth="1"/>
    <col min="11778" max="11778" width="14.140625" style="7" bestFit="1" customWidth="1"/>
    <col min="11779" max="11779" width="11.5703125" style="7" customWidth="1"/>
    <col min="11780" max="11781" width="13.140625" style="7" bestFit="1" customWidth="1"/>
    <col min="11782" max="11782" width="14.140625" style="7" bestFit="1" customWidth="1"/>
    <col min="11783" max="11784" width="13.140625" style="7" customWidth="1"/>
    <col min="11785" max="11785" width="14.42578125" style="7" customWidth="1"/>
    <col min="11786" max="11786" width="13.42578125" style="7" customWidth="1"/>
    <col min="11787" max="11788" width="15" style="7" customWidth="1"/>
    <col min="11789" max="11789" width="13.5703125" style="7" bestFit="1" customWidth="1"/>
    <col min="11790" max="12026" width="8.85546875" style="7"/>
    <col min="12027" max="12027" width="37.85546875" style="7" bestFit="1" customWidth="1"/>
    <col min="12028" max="12028" width="15.5703125" style="7" customWidth="1"/>
    <col min="12029" max="12029" width="16.140625" style="7" bestFit="1" customWidth="1"/>
    <col min="12030" max="12031" width="14.5703125" style="7" bestFit="1" customWidth="1"/>
    <col min="12032" max="12032" width="15.140625" style="7" customWidth="1"/>
    <col min="12033" max="12033" width="13.140625" style="7" bestFit="1" customWidth="1"/>
    <col min="12034" max="12034" width="14.140625" style="7" bestFit="1" customWidth="1"/>
    <col min="12035" max="12035" width="11.5703125" style="7" customWidth="1"/>
    <col min="12036" max="12037" width="13.140625" style="7" bestFit="1" customWidth="1"/>
    <col min="12038" max="12038" width="14.140625" style="7" bestFit="1" customWidth="1"/>
    <col min="12039" max="12040" width="13.140625" style="7" customWidth="1"/>
    <col min="12041" max="12041" width="14.42578125" style="7" customWidth="1"/>
    <col min="12042" max="12042" width="13.42578125" style="7" customWidth="1"/>
    <col min="12043" max="12044" width="15" style="7" customWidth="1"/>
    <col min="12045" max="12045" width="13.5703125" style="7" bestFit="1" customWidth="1"/>
    <col min="12046" max="12282" width="8.85546875" style="7"/>
    <col min="12283" max="12283" width="37.85546875" style="7" bestFit="1" customWidth="1"/>
    <col min="12284" max="12284" width="15.5703125" style="7" customWidth="1"/>
    <col min="12285" max="12285" width="16.140625" style="7" bestFit="1" customWidth="1"/>
    <col min="12286" max="12287" width="14.5703125" style="7" bestFit="1" customWidth="1"/>
    <col min="12288" max="12288" width="15.140625" style="7" customWidth="1"/>
    <col min="12289" max="12289" width="13.140625" style="7" bestFit="1" customWidth="1"/>
    <col min="12290" max="12290" width="14.140625" style="7" bestFit="1" customWidth="1"/>
    <col min="12291" max="12291" width="11.5703125" style="7" customWidth="1"/>
    <col min="12292" max="12293" width="13.140625" style="7" bestFit="1" customWidth="1"/>
    <col min="12294" max="12294" width="14.140625" style="7" bestFit="1" customWidth="1"/>
    <col min="12295" max="12296" width="13.140625" style="7" customWidth="1"/>
    <col min="12297" max="12297" width="14.42578125" style="7" customWidth="1"/>
    <col min="12298" max="12298" width="13.42578125" style="7" customWidth="1"/>
    <col min="12299" max="12300" width="15" style="7" customWidth="1"/>
    <col min="12301" max="12301" width="13.5703125" style="7" bestFit="1" customWidth="1"/>
    <col min="12302" max="12538" width="8.85546875" style="7"/>
    <col min="12539" max="12539" width="37.85546875" style="7" bestFit="1" customWidth="1"/>
    <col min="12540" max="12540" width="15.5703125" style="7" customWidth="1"/>
    <col min="12541" max="12541" width="16.140625" style="7" bestFit="1" customWidth="1"/>
    <col min="12542" max="12543" width="14.5703125" style="7" bestFit="1" customWidth="1"/>
    <col min="12544" max="12544" width="15.140625" style="7" customWidth="1"/>
    <col min="12545" max="12545" width="13.140625" style="7" bestFit="1" customWidth="1"/>
    <col min="12546" max="12546" width="14.140625" style="7" bestFit="1" customWidth="1"/>
    <col min="12547" max="12547" width="11.5703125" style="7" customWidth="1"/>
    <col min="12548" max="12549" width="13.140625" style="7" bestFit="1" customWidth="1"/>
    <col min="12550" max="12550" width="14.140625" style="7" bestFit="1" customWidth="1"/>
    <col min="12551" max="12552" width="13.140625" style="7" customWidth="1"/>
    <col min="12553" max="12553" width="14.42578125" style="7" customWidth="1"/>
    <col min="12554" max="12554" width="13.42578125" style="7" customWidth="1"/>
    <col min="12555" max="12556" width="15" style="7" customWidth="1"/>
    <col min="12557" max="12557" width="13.5703125" style="7" bestFit="1" customWidth="1"/>
    <col min="12558" max="12794" width="8.85546875" style="7"/>
    <col min="12795" max="12795" width="37.85546875" style="7" bestFit="1" customWidth="1"/>
    <col min="12796" max="12796" width="15.5703125" style="7" customWidth="1"/>
    <col min="12797" max="12797" width="16.140625" style="7" bestFit="1" customWidth="1"/>
    <col min="12798" max="12799" width="14.5703125" style="7" bestFit="1" customWidth="1"/>
    <col min="12800" max="12800" width="15.140625" style="7" customWidth="1"/>
    <col min="12801" max="12801" width="13.140625" style="7" bestFit="1" customWidth="1"/>
    <col min="12802" max="12802" width="14.140625" style="7" bestFit="1" customWidth="1"/>
    <col min="12803" max="12803" width="11.5703125" style="7" customWidth="1"/>
    <col min="12804" max="12805" width="13.140625" style="7" bestFit="1" customWidth="1"/>
    <col min="12806" max="12806" width="14.140625" style="7" bestFit="1" customWidth="1"/>
    <col min="12807" max="12808" width="13.140625" style="7" customWidth="1"/>
    <col min="12809" max="12809" width="14.42578125" style="7" customWidth="1"/>
    <col min="12810" max="12810" width="13.42578125" style="7" customWidth="1"/>
    <col min="12811" max="12812" width="15" style="7" customWidth="1"/>
    <col min="12813" max="12813" width="13.5703125" style="7" bestFit="1" customWidth="1"/>
    <col min="12814" max="13050" width="8.85546875" style="7"/>
    <col min="13051" max="13051" width="37.85546875" style="7" bestFit="1" customWidth="1"/>
    <col min="13052" max="13052" width="15.5703125" style="7" customWidth="1"/>
    <col min="13053" max="13053" width="16.140625" style="7" bestFit="1" customWidth="1"/>
    <col min="13054" max="13055" width="14.5703125" style="7" bestFit="1" customWidth="1"/>
    <col min="13056" max="13056" width="15.140625" style="7" customWidth="1"/>
    <col min="13057" max="13057" width="13.140625" style="7" bestFit="1" customWidth="1"/>
    <col min="13058" max="13058" width="14.140625" style="7" bestFit="1" customWidth="1"/>
    <col min="13059" max="13059" width="11.5703125" style="7" customWidth="1"/>
    <col min="13060" max="13061" width="13.140625" style="7" bestFit="1" customWidth="1"/>
    <col min="13062" max="13062" width="14.140625" style="7" bestFit="1" customWidth="1"/>
    <col min="13063" max="13064" width="13.140625" style="7" customWidth="1"/>
    <col min="13065" max="13065" width="14.42578125" style="7" customWidth="1"/>
    <col min="13066" max="13066" width="13.42578125" style="7" customWidth="1"/>
    <col min="13067" max="13068" width="15" style="7" customWidth="1"/>
    <col min="13069" max="13069" width="13.5703125" style="7" bestFit="1" customWidth="1"/>
    <col min="13070" max="13306" width="8.85546875" style="7"/>
    <col min="13307" max="13307" width="37.85546875" style="7" bestFit="1" customWidth="1"/>
    <col min="13308" max="13308" width="15.5703125" style="7" customWidth="1"/>
    <col min="13309" max="13309" width="16.140625" style="7" bestFit="1" customWidth="1"/>
    <col min="13310" max="13311" width="14.5703125" style="7" bestFit="1" customWidth="1"/>
    <col min="13312" max="13312" width="15.140625" style="7" customWidth="1"/>
    <col min="13313" max="13313" width="13.140625" style="7" bestFit="1" customWidth="1"/>
    <col min="13314" max="13314" width="14.140625" style="7" bestFit="1" customWidth="1"/>
    <col min="13315" max="13315" width="11.5703125" style="7" customWidth="1"/>
    <col min="13316" max="13317" width="13.140625" style="7" bestFit="1" customWidth="1"/>
    <col min="13318" max="13318" width="14.140625" style="7" bestFit="1" customWidth="1"/>
    <col min="13319" max="13320" width="13.140625" style="7" customWidth="1"/>
    <col min="13321" max="13321" width="14.42578125" style="7" customWidth="1"/>
    <col min="13322" max="13322" width="13.42578125" style="7" customWidth="1"/>
    <col min="13323" max="13324" width="15" style="7" customWidth="1"/>
    <col min="13325" max="13325" width="13.5703125" style="7" bestFit="1" customWidth="1"/>
    <col min="13326" max="13562" width="8.85546875" style="7"/>
    <col min="13563" max="13563" width="37.85546875" style="7" bestFit="1" customWidth="1"/>
    <col min="13564" max="13564" width="15.5703125" style="7" customWidth="1"/>
    <col min="13565" max="13565" width="16.140625" style="7" bestFit="1" customWidth="1"/>
    <col min="13566" max="13567" width="14.5703125" style="7" bestFit="1" customWidth="1"/>
    <col min="13568" max="13568" width="15.140625" style="7" customWidth="1"/>
    <col min="13569" max="13569" width="13.140625" style="7" bestFit="1" customWidth="1"/>
    <col min="13570" max="13570" width="14.140625" style="7" bestFit="1" customWidth="1"/>
    <col min="13571" max="13571" width="11.5703125" style="7" customWidth="1"/>
    <col min="13572" max="13573" width="13.140625" style="7" bestFit="1" customWidth="1"/>
    <col min="13574" max="13574" width="14.140625" style="7" bestFit="1" customWidth="1"/>
    <col min="13575" max="13576" width="13.140625" style="7" customWidth="1"/>
    <col min="13577" max="13577" width="14.42578125" style="7" customWidth="1"/>
    <col min="13578" max="13578" width="13.42578125" style="7" customWidth="1"/>
    <col min="13579" max="13580" width="15" style="7" customWidth="1"/>
    <col min="13581" max="13581" width="13.5703125" style="7" bestFit="1" customWidth="1"/>
    <col min="13582" max="13818" width="8.85546875" style="7"/>
    <col min="13819" max="13819" width="37.85546875" style="7" bestFit="1" customWidth="1"/>
    <col min="13820" max="13820" width="15.5703125" style="7" customWidth="1"/>
    <col min="13821" max="13821" width="16.140625" style="7" bestFit="1" customWidth="1"/>
    <col min="13822" max="13823" width="14.5703125" style="7" bestFit="1" customWidth="1"/>
    <col min="13824" max="13824" width="15.140625" style="7" customWidth="1"/>
    <col min="13825" max="13825" width="13.140625" style="7" bestFit="1" customWidth="1"/>
    <col min="13826" max="13826" width="14.140625" style="7" bestFit="1" customWidth="1"/>
    <col min="13827" max="13827" width="11.5703125" style="7" customWidth="1"/>
    <col min="13828" max="13829" width="13.140625" style="7" bestFit="1" customWidth="1"/>
    <col min="13830" max="13830" width="14.140625" style="7" bestFit="1" customWidth="1"/>
    <col min="13831" max="13832" width="13.140625" style="7" customWidth="1"/>
    <col min="13833" max="13833" width="14.42578125" style="7" customWidth="1"/>
    <col min="13834" max="13834" width="13.42578125" style="7" customWidth="1"/>
    <col min="13835" max="13836" width="15" style="7" customWidth="1"/>
    <col min="13837" max="13837" width="13.5703125" style="7" bestFit="1" customWidth="1"/>
    <col min="13838" max="14074" width="8.85546875" style="7"/>
    <col min="14075" max="14075" width="37.85546875" style="7" bestFit="1" customWidth="1"/>
    <col min="14076" max="14076" width="15.5703125" style="7" customWidth="1"/>
    <col min="14077" max="14077" width="16.140625" style="7" bestFit="1" customWidth="1"/>
    <col min="14078" max="14079" width="14.5703125" style="7" bestFit="1" customWidth="1"/>
    <col min="14080" max="14080" width="15.140625" style="7" customWidth="1"/>
    <col min="14081" max="14081" width="13.140625" style="7" bestFit="1" customWidth="1"/>
    <col min="14082" max="14082" width="14.140625" style="7" bestFit="1" customWidth="1"/>
    <col min="14083" max="14083" width="11.5703125" style="7" customWidth="1"/>
    <col min="14084" max="14085" width="13.140625" style="7" bestFit="1" customWidth="1"/>
    <col min="14086" max="14086" width="14.140625" style="7" bestFit="1" customWidth="1"/>
    <col min="14087" max="14088" width="13.140625" style="7" customWidth="1"/>
    <col min="14089" max="14089" width="14.42578125" style="7" customWidth="1"/>
    <col min="14090" max="14090" width="13.42578125" style="7" customWidth="1"/>
    <col min="14091" max="14092" width="15" style="7" customWidth="1"/>
    <col min="14093" max="14093" width="13.5703125" style="7" bestFit="1" customWidth="1"/>
    <col min="14094" max="14330" width="8.85546875" style="7"/>
    <col min="14331" max="14331" width="37.85546875" style="7" bestFit="1" customWidth="1"/>
    <col min="14332" max="14332" width="15.5703125" style="7" customWidth="1"/>
    <col min="14333" max="14333" width="16.140625" style="7" bestFit="1" customWidth="1"/>
    <col min="14334" max="14335" width="14.5703125" style="7" bestFit="1" customWidth="1"/>
    <col min="14336" max="14336" width="15.140625" style="7" customWidth="1"/>
    <col min="14337" max="14337" width="13.140625" style="7" bestFit="1" customWidth="1"/>
    <col min="14338" max="14338" width="14.140625" style="7" bestFit="1" customWidth="1"/>
    <col min="14339" max="14339" width="11.5703125" style="7" customWidth="1"/>
    <col min="14340" max="14341" width="13.140625" style="7" bestFit="1" customWidth="1"/>
    <col min="14342" max="14342" width="14.140625" style="7" bestFit="1" customWidth="1"/>
    <col min="14343" max="14344" width="13.140625" style="7" customWidth="1"/>
    <col min="14345" max="14345" width="14.42578125" style="7" customWidth="1"/>
    <col min="14346" max="14346" width="13.42578125" style="7" customWidth="1"/>
    <col min="14347" max="14348" width="15" style="7" customWidth="1"/>
    <col min="14349" max="14349" width="13.5703125" style="7" bestFit="1" customWidth="1"/>
    <col min="14350" max="14586" width="8.85546875" style="7"/>
    <col min="14587" max="14587" width="37.85546875" style="7" bestFit="1" customWidth="1"/>
    <col min="14588" max="14588" width="15.5703125" style="7" customWidth="1"/>
    <col min="14589" max="14589" width="16.140625" style="7" bestFit="1" customWidth="1"/>
    <col min="14590" max="14591" width="14.5703125" style="7" bestFit="1" customWidth="1"/>
    <col min="14592" max="14592" width="15.140625" style="7" customWidth="1"/>
    <col min="14593" max="14593" width="13.140625" style="7" bestFit="1" customWidth="1"/>
    <col min="14594" max="14594" width="14.140625" style="7" bestFit="1" customWidth="1"/>
    <col min="14595" max="14595" width="11.5703125" style="7" customWidth="1"/>
    <col min="14596" max="14597" width="13.140625" style="7" bestFit="1" customWidth="1"/>
    <col min="14598" max="14598" width="14.140625" style="7" bestFit="1" customWidth="1"/>
    <col min="14599" max="14600" width="13.140625" style="7" customWidth="1"/>
    <col min="14601" max="14601" width="14.42578125" style="7" customWidth="1"/>
    <col min="14602" max="14602" width="13.42578125" style="7" customWidth="1"/>
    <col min="14603" max="14604" width="15" style="7" customWidth="1"/>
    <col min="14605" max="14605" width="13.5703125" style="7" bestFit="1" customWidth="1"/>
    <col min="14606" max="14842" width="8.85546875" style="7"/>
    <col min="14843" max="14843" width="37.85546875" style="7" bestFit="1" customWidth="1"/>
    <col min="14844" max="14844" width="15.5703125" style="7" customWidth="1"/>
    <col min="14845" max="14845" width="16.140625" style="7" bestFit="1" customWidth="1"/>
    <col min="14846" max="14847" width="14.5703125" style="7" bestFit="1" customWidth="1"/>
    <col min="14848" max="14848" width="15.140625" style="7" customWidth="1"/>
    <col min="14849" max="14849" width="13.140625" style="7" bestFit="1" customWidth="1"/>
    <col min="14850" max="14850" width="14.140625" style="7" bestFit="1" customWidth="1"/>
    <col min="14851" max="14851" width="11.5703125" style="7" customWidth="1"/>
    <col min="14852" max="14853" width="13.140625" style="7" bestFit="1" customWidth="1"/>
    <col min="14854" max="14854" width="14.140625" style="7" bestFit="1" customWidth="1"/>
    <col min="14855" max="14856" width="13.140625" style="7" customWidth="1"/>
    <col min="14857" max="14857" width="14.42578125" style="7" customWidth="1"/>
    <col min="14858" max="14858" width="13.42578125" style="7" customWidth="1"/>
    <col min="14859" max="14860" width="15" style="7" customWidth="1"/>
    <col min="14861" max="14861" width="13.5703125" style="7" bestFit="1" customWidth="1"/>
    <col min="14862" max="15098" width="8.85546875" style="7"/>
    <col min="15099" max="15099" width="37.85546875" style="7" bestFit="1" customWidth="1"/>
    <col min="15100" max="15100" width="15.5703125" style="7" customWidth="1"/>
    <col min="15101" max="15101" width="16.140625" style="7" bestFit="1" customWidth="1"/>
    <col min="15102" max="15103" width="14.5703125" style="7" bestFit="1" customWidth="1"/>
    <col min="15104" max="15104" width="15.140625" style="7" customWidth="1"/>
    <col min="15105" max="15105" width="13.140625" style="7" bestFit="1" customWidth="1"/>
    <col min="15106" max="15106" width="14.140625" style="7" bestFit="1" customWidth="1"/>
    <col min="15107" max="15107" width="11.5703125" style="7" customWidth="1"/>
    <col min="15108" max="15109" width="13.140625" style="7" bestFit="1" customWidth="1"/>
    <col min="15110" max="15110" width="14.140625" style="7" bestFit="1" customWidth="1"/>
    <col min="15111" max="15112" width="13.140625" style="7" customWidth="1"/>
    <col min="15113" max="15113" width="14.42578125" style="7" customWidth="1"/>
    <col min="15114" max="15114" width="13.42578125" style="7" customWidth="1"/>
    <col min="15115" max="15116" width="15" style="7" customWidth="1"/>
    <col min="15117" max="15117" width="13.5703125" style="7" bestFit="1" customWidth="1"/>
    <col min="15118" max="15354" width="8.85546875" style="7"/>
    <col min="15355" max="15355" width="37.85546875" style="7" bestFit="1" customWidth="1"/>
    <col min="15356" max="15356" width="15.5703125" style="7" customWidth="1"/>
    <col min="15357" max="15357" width="16.140625" style="7" bestFit="1" customWidth="1"/>
    <col min="15358" max="15359" width="14.5703125" style="7" bestFit="1" customWidth="1"/>
    <col min="15360" max="15360" width="15.140625" style="7" customWidth="1"/>
    <col min="15361" max="15361" width="13.140625" style="7" bestFit="1" customWidth="1"/>
    <col min="15362" max="15362" width="14.140625" style="7" bestFit="1" customWidth="1"/>
    <col min="15363" max="15363" width="11.5703125" style="7" customWidth="1"/>
    <col min="15364" max="15365" width="13.140625" style="7" bestFit="1" customWidth="1"/>
    <col min="15366" max="15366" width="14.140625" style="7" bestFit="1" customWidth="1"/>
    <col min="15367" max="15368" width="13.140625" style="7" customWidth="1"/>
    <col min="15369" max="15369" width="14.42578125" style="7" customWidth="1"/>
    <col min="15370" max="15370" width="13.42578125" style="7" customWidth="1"/>
    <col min="15371" max="15372" width="15" style="7" customWidth="1"/>
    <col min="15373" max="15373" width="13.5703125" style="7" bestFit="1" customWidth="1"/>
    <col min="15374" max="15610" width="8.85546875" style="7"/>
    <col min="15611" max="15611" width="37.85546875" style="7" bestFit="1" customWidth="1"/>
    <col min="15612" max="15612" width="15.5703125" style="7" customWidth="1"/>
    <col min="15613" max="15613" width="16.140625" style="7" bestFit="1" customWidth="1"/>
    <col min="15614" max="15615" width="14.5703125" style="7" bestFit="1" customWidth="1"/>
    <col min="15616" max="15616" width="15.140625" style="7" customWidth="1"/>
    <col min="15617" max="15617" width="13.140625" style="7" bestFit="1" customWidth="1"/>
    <col min="15618" max="15618" width="14.140625" style="7" bestFit="1" customWidth="1"/>
    <col min="15619" max="15619" width="11.5703125" style="7" customWidth="1"/>
    <col min="15620" max="15621" width="13.140625" style="7" bestFit="1" customWidth="1"/>
    <col min="15622" max="15622" width="14.140625" style="7" bestFit="1" customWidth="1"/>
    <col min="15623" max="15624" width="13.140625" style="7" customWidth="1"/>
    <col min="15625" max="15625" width="14.42578125" style="7" customWidth="1"/>
    <col min="15626" max="15626" width="13.42578125" style="7" customWidth="1"/>
    <col min="15627" max="15628" width="15" style="7" customWidth="1"/>
    <col min="15629" max="15629" width="13.5703125" style="7" bestFit="1" customWidth="1"/>
    <col min="15630" max="15866" width="8.85546875" style="7"/>
    <col min="15867" max="15867" width="37.85546875" style="7" bestFit="1" customWidth="1"/>
    <col min="15868" max="15868" width="15.5703125" style="7" customWidth="1"/>
    <col min="15869" max="15869" width="16.140625" style="7" bestFit="1" customWidth="1"/>
    <col min="15870" max="15871" width="14.5703125" style="7" bestFit="1" customWidth="1"/>
    <col min="15872" max="15872" width="15.140625" style="7" customWidth="1"/>
    <col min="15873" max="15873" width="13.140625" style="7" bestFit="1" customWidth="1"/>
    <col min="15874" max="15874" width="14.140625" style="7" bestFit="1" customWidth="1"/>
    <col min="15875" max="15875" width="11.5703125" style="7" customWidth="1"/>
    <col min="15876" max="15877" width="13.140625" style="7" bestFit="1" customWidth="1"/>
    <col min="15878" max="15878" width="14.140625" style="7" bestFit="1" customWidth="1"/>
    <col min="15879" max="15880" width="13.140625" style="7" customWidth="1"/>
    <col min="15881" max="15881" width="14.42578125" style="7" customWidth="1"/>
    <col min="15882" max="15882" width="13.42578125" style="7" customWidth="1"/>
    <col min="15883" max="15884" width="15" style="7" customWidth="1"/>
    <col min="15885" max="15885" width="13.5703125" style="7" bestFit="1" customWidth="1"/>
    <col min="15886" max="16122" width="8.85546875" style="7"/>
    <col min="16123" max="16123" width="37.85546875" style="7" bestFit="1" customWidth="1"/>
    <col min="16124" max="16124" width="15.5703125" style="7" customWidth="1"/>
    <col min="16125" max="16125" width="16.140625" style="7" bestFit="1" customWidth="1"/>
    <col min="16126" max="16127" width="14.5703125" style="7" bestFit="1" customWidth="1"/>
    <col min="16128" max="16128" width="15.140625" style="7" customWidth="1"/>
    <col min="16129" max="16129" width="13.140625" style="7" bestFit="1" customWidth="1"/>
    <col min="16130" max="16130" width="14.140625" style="7" bestFit="1" customWidth="1"/>
    <col min="16131" max="16131" width="11.5703125" style="7" customWidth="1"/>
    <col min="16132" max="16133" width="13.140625" style="7" bestFit="1" customWidth="1"/>
    <col min="16134" max="16134" width="14.140625" style="7" bestFit="1" customWidth="1"/>
    <col min="16135" max="16136" width="13.140625" style="7" customWidth="1"/>
    <col min="16137" max="16137" width="14.42578125" style="7" customWidth="1"/>
    <col min="16138" max="16138" width="13.42578125" style="7" customWidth="1"/>
    <col min="16139" max="16140" width="15" style="7" customWidth="1"/>
    <col min="16141" max="16141" width="13.5703125" style="7" bestFit="1" customWidth="1"/>
    <col min="16142" max="16378" width="8.85546875" style="7"/>
    <col min="16379" max="16384" width="8.85546875" style="7" customWidth="1"/>
  </cols>
  <sheetData>
    <row r="1" spans="1:19" x14ac:dyDescent="0.2">
      <c r="A1" s="1" t="s">
        <v>335</v>
      </c>
      <c r="B1" s="2"/>
      <c r="C1" s="3"/>
      <c r="D1" s="3"/>
      <c r="E1" s="4"/>
      <c r="F1" s="4"/>
      <c r="G1" s="4"/>
      <c r="H1" s="4"/>
      <c r="I1" s="4"/>
      <c r="J1" s="4"/>
      <c r="K1" s="3"/>
      <c r="L1" s="3"/>
      <c r="M1" s="5"/>
      <c r="N1" s="5"/>
      <c r="O1" s="3"/>
      <c r="P1" s="3"/>
      <c r="Q1" s="3"/>
      <c r="R1" s="3"/>
    </row>
    <row r="2" spans="1:19" ht="20.100000000000001" customHeight="1" thickBot="1" x14ac:dyDescent="0.25">
      <c r="A2" s="8" t="s">
        <v>223</v>
      </c>
      <c r="B2" s="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44.25" customHeight="1" thickBot="1" x14ac:dyDescent="0.25">
      <c r="A3" s="9"/>
      <c r="B3" s="10"/>
      <c r="C3" s="62" t="s">
        <v>0</v>
      </c>
      <c r="D3" s="11" t="s">
        <v>1</v>
      </c>
      <c r="E3" s="62" t="s">
        <v>2</v>
      </c>
      <c r="F3" s="11" t="s">
        <v>3</v>
      </c>
      <c r="G3" s="62" t="s">
        <v>4</v>
      </c>
      <c r="H3" s="11" t="s">
        <v>5</v>
      </c>
      <c r="I3" s="571" t="s">
        <v>6</v>
      </c>
      <c r="J3" s="11" t="s">
        <v>7</v>
      </c>
      <c r="K3" s="62" t="s">
        <v>8</v>
      </c>
      <c r="L3" s="13" t="s">
        <v>9</v>
      </c>
      <c r="M3" s="62" t="s">
        <v>10</v>
      </c>
      <c r="N3" s="14" t="s">
        <v>11</v>
      </c>
      <c r="O3" s="571" t="s">
        <v>12</v>
      </c>
      <c r="P3" s="142" t="s">
        <v>13</v>
      </c>
      <c r="Q3" s="601" t="s">
        <v>14</v>
      </c>
      <c r="R3" s="15" t="s">
        <v>320</v>
      </c>
      <c r="S3" s="12" t="s">
        <v>15</v>
      </c>
    </row>
    <row r="4" spans="1:19" ht="23.45" customHeight="1" thickBot="1" x14ac:dyDescent="0.25">
      <c r="A4" s="16" t="s">
        <v>198</v>
      </c>
      <c r="B4" s="17"/>
      <c r="C4" s="540">
        <v>12882439</v>
      </c>
      <c r="D4" s="18">
        <v>4936029</v>
      </c>
      <c r="E4" s="540">
        <v>14493292</v>
      </c>
      <c r="F4" s="18">
        <v>13510415</v>
      </c>
      <c r="G4" s="540">
        <v>4730723</v>
      </c>
      <c r="H4" s="18">
        <v>9393364</v>
      </c>
      <c r="I4" s="540">
        <v>199465</v>
      </c>
      <c r="J4" s="18">
        <v>4194942</v>
      </c>
      <c r="K4" s="540">
        <v>3445488</v>
      </c>
      <c r="L4" s="18"/>
      <c r="M4" s="540">
        <v>1263152</v>
      </c>
      <c r="N4" s="18"/>
      <c r="O4" s="540">
        <v>4497557</v>
      </c>
      <c r="P4" s="18">
        <v>2267635</v>
      </c>
      <c r="Q4" s="540">
        <v>740500</v>
      </c>
      <c r="R4" s="18">
        <v>0</v>
      </c>
      <c r="S4" s="606">
        <f>SUM(C4:R4)</f>
        <v>76555001</v>
      </c>
    </row>
    <row r="5" spans="1:19" ht="22.35" customHeight="1" thickBot="1" x14ac:dyDescent="0.25">
      <c r="A5" s="19" t="s">
        <v>16</v>
      </c>
      <c r="B5" s="20"/>
      <c r="C5" s="541">
        <f t="shared" ref="C5:R5" si="0">C4+C211</f>
        <v>13783684.6</v>
      </c>
      <c r="D5" s="21">
        <f t="shared" si="0"/>
        <v>5730308.7799999993</v>
      </c>
      <c r="E5" s="541">
        <f t="shared" si="0"/>
        <v>15450424.880000001</v>
      </c>
      <c r="F5" s="21">
        <f t="shared" si="0"/>
        <v>14606468.6</v>
      </c>
      <c r="G5" s="541">
        <f t="shared" si="0"/>
        <v>4990758.53</v>
      </c>
      <c r="H5" s="21">
        <f t="shared" si="0"/>
        <v>10047000.540000001</v>
      </c>
      <c r="I5" s="541">
        <f t="shared" si="0"/>
        <v>200435</v>
      </c>
      <c r="J5" s="21">
        <f t="shared" si="0"/>
        <v>4329207.9800000004</v>
      </c>
      <c r="K5" s="541">
        <f t="shared" si="0"/>
        <v>4709189.13</v>
      </c>
      <c r="L5" s="21">
        <f t="shared" si="0"/>
        <v>63137</v>
      </c>
      <c r="M5" s="541">
        <f t="shared" si="0"/>
        <v>1295165.54</v>
      </c>
      <c r="N5" s="21">
        <f t="shared" si="0"/>
        <v>0</v>
      </c>
      <c r="O5" s="541">
        <f t="shared" si="0"/>
        <v>4915062.92</v>
      </c>
      <c r="P5" s="21">
        <f t="shared" si="0"/>
        <v>1747259.33</v>
      </c>
      <c r="Q5" s="541">
        <f t="shared" si="0"/>
        <v>973947.19000000006</v>
      </c>
      <c r="R5" s="21">
        <f t="shared" si="0"/>
        <v>614520.98</v>
      </c>
      <c r="S5" s="22">
        <f>SUM(C5:R5)</f>
        <v>83456571</v>
      </c>
    </row>
    <row r="6" spans="1:19" ht="20.45" customHeight="1" x14ac:dyDescent="0.2">
      <c r="A6" s="23" t="s">
        <v>17</v>
      </c>
      <c r="B6" s="24" t="s">
        <v>18</v>
      </c>
      <c r="C6" s="542"/>
      <c r="D6" s="25"/>
      <c r="E6" s="564"/>
      <c r="F6" s="25"/>
      <c r="G6" s="564"/>
      <c r="H6" s="26"/>
      <c r="I6" s="572"/>
      <c r="J6" s="26"/>
      <c r="K6" s="572"/>
      <c r="L6" s="26"/>
      <c r="M6" s="572"/>
      <c r="N6" s="26"/>
      <c r="O6" s="572"/>
      <c r="P6" s="26"/>
      <c r="Q6" s="572"/>
      <c r="R6" s="26"/>
      <c r="S6" s="28"/>
    </row>
    <row r="7" spans="1:19" x14ac:dyDescent="0.2">
      <c r="A7" s="500" t="s">
        <v>19</v>
      </c>
      <c r="B7" s="371" t="s">
        <v>20</v>
      </c>
      <c r="C7" s="543">
        <f>62980+19200+5520-3460+200+9220+15200</f>
        <v>108860</v>
      </c>
      <c r="D7" s="281">
        <f>11028+1454+3402+960-1948+1900</f>
        <v>16796</v>
      </c>
      <c r="E7" s="461">
        <f>153488-940-480+24284+53952+12800-8520+37050-8870</f>
        <v>262764</v>
      </c>
      <c r="F7" s="281">
        <f>50128-100+9764+23952+5040-1440+18050+3670</f>
        <v>109064</v>
      </c>
      <c r="G7" s="461">
        <f>20380+2500+6000+2400-1920+200+4750</f>
        <v>34310</v>
      </c>
      <c r="H7" s="281">
        <f>3120+1060+2400+480+1900</f>
        <v>8960</v>
      </c>
      <c r="I7" s="461"/>
      <c r="J7" s="281">
        <f>37900-200+4400+9600+2160-1920+7600</f>
        <v>59540</v>
      </c>
      <c r="K7" s="461"/>
      <c r="L7" s="281"/>
      <c r="M7" s="461">
        <f>4520+580+1200+240+950</f>
        <v>7490</v>
      </c>
      <c r="N7" s="78"/>
      <c r="O7" s="79"/>
      <c r="P7" s="598"/>
      <c r="Q7" s="79"/>
      <c r="R7" s="78"/>
      <c r="S7" s="94">
        <f t="shared" ref="S7:S55" si="1">SUM(C7:R7)</f>
        <v>607784</v>
      </c>
    </row>
    <row r="8" spans="1:19" x14ac:dyDescent="0.2">
      <c r="A8" s="500" t="s">
        <v>21</v>
      </c>
      <c r="B8" s="371" t="s">
        <v>22</v>
      </c>
      <c r="C8" s="543"/>
      <c r="D8" s="281">
        <v>2400</v>
      </c>
      <c r="E8" s="461">
        <f>1720-800-120</f>
        <v>800</v>
      </c>
      <c r="F8" s="281"/>
      <c r="G8" s="461"/>
      <c r="H8" s="281">
        <v>4060</v>
      </c>
      <c r="I8" s="461"/>
      <c r="J8" s="281">
        <v>2202</v>
      </c>
      <c r="K8" s="461"/>
      <c r="L8" s="281"/>
      <c r="M8" s="461"/>
      <c r="N8" s="78"/>
      <c r="O8" s="79"/>
      <c r="P8" s="78"/>
      <c r="Q8" s="79"/>
      <c r="R8" s="78"/>
      <c r="S8" s="94">
        <f t="shared" si="1"/>
        <v>9462</v>
      </c>
    </row>
    <row r="9" spans="1:19" x14ac:dyDescent="0.2">
      <c r="A9" s="500" t="s">
        <v>180</v>
      </c>
      <c r="B9" s="371" t="s">
        <v>181</v>
      </c>
      <c r="C9" s="543"/>
      <c r="D9" s="281">
        <v>0</v>
      </c>
      <c r="E9" s="461">
        <v>0</v>
      </c>
      <c r="F9" s="281"/>
      <c r="G9" s="461"/>
      <c r="H9" s="281">
        <v>0</v>
      </c>
      <c r="I9" s="461"/>
      <c r="J9" s="281">
        <v>0</v>
      </c>
      <c r="K9" s="461"/>
      <c r="L9" s="281"/>
      <c r="M9" s="461"/>
      <c r="N9" s="78"/>
      <c r="O9" s="79"/>
      <c r="P9" s="78"/>
      <c r="Q9" s="79"/>
      <c r="R9" s="78"/>
      <c r="S9" s="94">
        <f t="shared" si="1"/>
        <v>0</v>
      </c>
    </row>
    <row r="10" spans="1:19" x14ac:dyDescent="0.2">
      <c r="A10" s="500" t="s">
        <v>23</v>
      </c>
      <c r="B10" s="371" t="s">
        <v>24</v>
      </c>
      <c r="C10" s="543">
        <f>419915-4219-6459.71+74194+64589+3750</f>
        <v>551769.29</v>
      </c>
      <c r="D10" s="281">
        <f>355920+67645</f>
        <v>423565</v>
      </c>
      <c r="E10" s="461">
        <f>1033272+1300-2768.58+61809+39100+2500</f>
        <v>1135212.42</v>
      </c>
      <c r="F10" s="281">
        <f>1428418+2350-515.43-1758.64-3701.57+88497+94700+40205+2500+4528+26320</f>
        <v>1681542.36</v>
      </c>
      <c r="G10" s="461"/>
      <c r="H10" s="281">
        <f>539024-5.77-84.53-1299.63+31733+29923</f>
        <v>599290.06999999995</v>
      </c>
      <c r="I10" s="461"/>
      <c r="J10" s="281">
        <f>68620</f>
        <v>68620</v>
      </c>
      <c r="K10" s="461"/>
      <c r="L10" s="281"/>
      <c r="M10" s="461">
        <v>73865</v>
      </c>
      <c r="N10" s="78"/>
      <c r="O10" s="79"/>
      <c r="P10" s="78"/>
      <c r="Q10" s="79"/>
      <c r="R10" s="78"/>
      <c r="S10" s="94">
        <f t="shared" si="1"/>
        <v>4533864.1400000006</v>
      </c>
    </row>
    <row r="11" spans="1:19" x14ac:dyDescent="0.2">
      <c r="A11" s="501" t="s">
        <v>25</v>
      </c>
      <c r="B11" s="371" t="s">
        <v>26</v>
      </c>
      <c r="C11" s="544"/>
      <c r="D11" s="78">
        <v>550000</v>
      </c>
      <c r="E11" s="79">
        <f>78073.75+22800+27633+63375</f>
        <v>191881.75</v>
      </c>
      <c r="F11" s="281"/>
      <c r="G11" s="79"/>
      <c r="H11" s="281"/>
      <c r="I11" s="461"/>
      <c r="J11" s="78"/>
      <c r="K11" s="79"/>
      <c r="L11" s="78"/>
      <c r="M11" s="79"/>
      <c r="N11" s="78"/>
      <c r="O11" s="79"/>
      <c r="P11" s="78"/>
      <c r="Q11" s="79"/>
      <c r="R11" s="78"/>
      <c r="S11" s="94">
        <f t="shared" si="1"/>
        <v>741881.75</v>
      </c>
    </row>
    <row r="12" spans="1:19" x14ac:dyDescent="0.2">
      <c r="A12" s="447" t="s">
        <v>27</v>
      </c>
      <c r="B12" s="523" t="s">
        <v>28</v>
      </c>
      <c r="C12" s="545"/>
      <c r="D12" s="557"/>
      <c r="E12" s="565"/>
      <c r="F12" s="557"/>
      <c r="G12" s="565"/>
      <c r="H12" s="557"/>
      <c r="I12" s="565"/>
      <c r="J12" s="557"/>
      <c r="K12" s="577"/>
      <c r="L12" s="586"/>
      <c r="M12" s="565"/>
      <c r="N12" s="557"/>
      <c r="O12" s="577"/>
      <c r="P12" s="586"/>
      <c r="Q12" s="577"/>
      <c r="R12" s="586"/>
      <c r="S12" s="94">
        <f t="shared" si="1"/>
        <v>0</v>
      </c>
    </row>
    <row r="13" spans="1:19" x14ac:dyDescent="0.2">
      <c r="A13" s="447" t="s">
        <v>29</v>
      </c>
      <c r="B13" s="523" t="s">
        <v>28</v>
      </c>
      <c r="C13" s="545"/>
      <c r="D13" s="557"/>
      <c r="E13" s="565"/>
      <c r="F13" s="557"/>
      <c r="G13" s="565"/>
      <c r="H13" s="557"/>
      <c r="I13" s="565"/>
      <c r="J13" s="557"/>
      <c r="K13" s="577"/>
      <c r="L13" s="586"/>
      <c r="M13" s="565"/>
      <c r="N13" s="557"/>
      <c r="O13" s="461"/>
      <c r="P13" s="586"/>
      <c r="Q13" s="577"/>
      <c r="R13" s="586"/>
      <c r="S13" s="94">
        <f t="shared" si="1"/>
        <v>0</v>
      </c>
    </row>
    <row r="14" spans="1:19" x14ac:dyDescent="0.2">
      <c r="A14" s="502" t="s">
        <v>30</v>
      </c>
      <c r="B14" s="281" t="s">
        <v>31</v>
      </c>
      <c r="C14" s="543"/>
      <c r="D14" s="281"/>
      <c r="E14" s="461"/>
      <c r="F14" s="281"/>
      <c r="G14" s="461"/>
      <c r="H14" s="281"/>
      <c r="I14" s="461"/>
      <c r="J14" s="281"/>
      <c r="K14" s="461"/>
      <c r="L14" s="281"/>
      <c r="M14" s="461"/>
      <c r="N14" s="281"/>
      <c r="O14" s="461"/>
      <c r="P14" s="281"/>
      <c r="Q14" s="461"/>
      <c r="R14" s="281"/>
      <c r="S14" s="94">
        <f t="shared" si="1"/>
        <v>0</v>
      </c>
    </row>
    <row r="15" spans="1:19" s="30" customFormat="1" x14ac:dyDescent="0.2">
      <c r="A15" s="502" t="s">
        <v>30</v>
      </c>
      <c r="B15" s="281" t="s">
        <v>32</v>
      </c>
      <c r="C15" s="546"/>
      <c r="D15" s="281"/>
      <c r="E15" s="457"/>
      <c r="F15" s="282"/>
      <c r="G15" s="457"/>
      <c r="H15" s="282"/>
      <c r="I15" s="457"/>
      <c r="J15" s="282"/>
      <c r="K15" s="457"/>
      <c r="L15" s="282"/>
      <c r="M15" s="457"/>
      <c r="N15" s="282"/>
      <c r="O15" s="461"/>
      <c r="P15" s="281"/>
      <c r="Q15" s="461"/>
      <c r="R15" s="281"/>
      <c r="S15" s="94">
        <f t="shared" si="1"/>
        <v>0</v>
      </c>
    </row>
    <row r="16" spans="1:19" s="30" customFormat="1" x14ac:dyDescent="0.2">
      <c r="A16" s="502" t="s">
        <v>210</v>
      </c>
      <c r="B16" s="281" t="s">
        <v>213</v>
      </c>
      <c r="C16" s="546"/>
      <c r="D16" s="281">
        <f>100000</f>
        <v>100000</v>
      </c>
      <c r="E16" s="457"/>
      <c r="F16" s="282"/>
      <c r="G16" s="457"/>
      <c r="H16" s="282"/>
      <c r="I16" s="457"/>
      <c r="J16" s="282"/>
      <c r="K16" s="457"/>
      <c r="L16" s="282"/>
      <c r="M16" s="457"/>
      <c r="N16" s="282"/>
      <c r="O16" s="461">
        <f>100000-100000</f>
        <v>0</v>
      </c>
      <c r="P16" s="281">
        <v>-100000</v>
      </c>
      <c r="Q16" s="461"/>
      <c r="R16" s="281"/>
      <c r="S16" s="94">
        <f t="shared" si="1"/>
        <v>0</v>
      </c>
    </row>
    <row r="17" spans="1:19" s="30" customFormat="1" x14ac:dyDescent="0.2">
      <c r="A17" s="503" t="s">
        <v>193</v>
      </c>
      <c r="B17" s="281" t="s">
        <v>213</v>
      </c>
      <c r="C17" s="546"/>
      <c r="D17" s="282">
        <v>26306</v>
      </c>
      <c r="E17" s="457">
        <v>1027</v>
      </c>
      <c r="F17" s="282"/>
      <c r="G17" s="457"/>
      <c r="H17" s="282">
        <v>7898</v>
      </c>
      <c r="I17" s="457"/>
      <c r="J17" s="282"/>
      <c r="K17" s="457"/>
      <c r="L17" s="282"/>
      <c r="M17" s="457"/>
      <c r="N17" s="455"/>
      <c r="O17" s="471">
        <v>24327</v>
      </c>
      <c r="P17" s="455">
        <v>-59558</v>
      </c>
      <c r="Q17" s="471"/>
      <c r="R17" s="455"/>
      <c r="S17" s="94">
        <f t="shared" si="1"/>
        <v>0</v>
      </c>
    </row>
    <row r="18" spans="1:19" s="30" customFormat="1" ht="11.45" customHeight="1" x14ac:dyDescent="0.2">
      <c r="A18" s="502" t="s">
        <v>211</v>
      </c>
      <c r="B18" s="524" t="s">
        <v>212</v>
      </c>
      <c r="C18" s="546"/>
      <c r="D18" s="282"/>
      <c r="E18" s="457"/>
      <c r="F18" s="282"/>
      <c r="G18" s="457"/>
      <c r="H18" s="282"/>
      <c r="I18" s="457"/>
      <c r="J18" s="282"/>
      <c r="K18" s="457"/>
      <c r="L18" s="282">
        <v>63137</v>
      </c>
      <c r="M18" s="457"/>
      <c r="N18" s="455"/>
      <c r="O18" s="471"/>
      <c r="P18" s="455">
        <v>-63137</v>
      </c>
      <c r="Q18" s="471"/>
      <c r="R18" s="455"/>
      <c r="S18" s="94">
        <f t="shared" si="1"/>
        <v>0</v>
      </c>
    </row>
    <row r="19" spans="1:19" s="30" customFormat="1" x14ac:dyDescent="0.2">
      <c r="A19" s="503" t="s">
        <v>220</v>
      </c>
      <c r="B19" s="371" t="s">
        <v>186</v>
      </c>
      <c r="C19" s="79">
        <v>464426</v>
      </c>
      <c r="D19" s="78">
        <v>103243</v>
      </c>
      <c r="E19" s="79">
        <v>400835</v>
      </c>
      <c r="F19" s="281">
        <v>577714</v>
      </c>
      <c r="G19" s="79">
        <v>16312</v>
      </c>
      <c r="H19" s="281">
        <v>222338</v>
      </c>
      <c r="I19" s="461"/>
      <c r="J19" s="78"/>
      <c r="K19" s="79"/>
      <c r="L19" s="78"/>
      <c r="M19" s="79">
        <v>4186</v>
      </c>
      <c r="N19" s="78"/>
      <c r="O19" s="79"/>
      <c r="P19" s="78"/>
      <c r="Q19" s="79"/>
      <c r="R19" s="282"/>
      <c r="S19" s="94">
        <f t="shared" si="1"/>
        <v>1789054</v>
      </c>
    </row>
    <row r="20" spans="1:19" s="30" customFormat="1" ht="12.6" customHeight="1" x14ac:dyDescent="0.2">
      <c r="A20" s="503" t="s">
        <v>221</v>
      </c>
      <c r="B20" s="371" t="s">
        <v>187</v>
      </c>
      <c r="C20" s="79">
        <v>42030</v>
      </c>
      <c r="D20" s="78">
        <v>224236</v>
      </c>
      <c r="E20" s="79">
        <v>85085</v>
      </c>
      <c r="F20" s="281">
        <v>3449</v>
      </c>
      <c r="G20" s="79">
        <v>51889</v>
      </c>
      <c r="H20" s="281">
        <v>144942</v>
      </c>
      <c r="I20" s="461"/>
      <c r="J20" s="78">
        <v>14270</v>
      </c>
      <c r="K20" s="578"/>
      <c r="L20" s="587"/>
      <c r="M20" s="79">
        <v>27819</v>
      </c>
      <c r="N20" s="78"/>
      <c r="O20" s="79"/>
      <c r="P20" s="78"/>
      <c r="Q20" s="79"/>
      <c r="R20" s="282"/>
      <c r="S20" s="94">
        <f t="shared" si="1"/>
        <v>593720</v>
      </c>
    </row>
    <row r="21" spans="1:19" s="30" customFormat="1" x14ac:dyDescent="0.2">
      <c r="A21" s="451" t="s">
        <v>246</v>
      </c>
      <c r="B21" s="371" t="s">
        <v>186</v>
      </c>
      <c r="C21" s="471"/>
      <c r="D21" s="455"/>
      <c r="E21" s="471"/>
      <c r="F21" s="282"/>
      <c r="G21" s="471">
        <v>2846</v>
      </c>
      <c r="H21" s="282"/>
      <c r="I21" s="457"/>
      <c r="J21" s="455"/>
      <c r="K21" s="471"/>
      <c r="L21" s="455"/>
      <c r="M21" s="471"/>
      <c r="N21" s="455"/>
      <c r="O21" s="471"/>
      <c r="P21" s="455"/>
      <c r="Q21" s="471"/>
      <c r="R21" s="455"/>
      <c r="S21" s="94">
        <f t="shared" si="1"/>
        <v>2846</v>
      </c>
    </row>
    <row r="22" spans="1:19" s="30" customFormat="1" x14ac:dyDescent="0.2">
      <c r="A22" s="451" t="s">
        <v>247</v>
      </c>
      <c r="B22" s="371" t="s">
        <v>28</v>
      </c>
      <c r="C22" s="471"/>
      <c r="D22" s="455"/>
      <c r="E22" s="471"/>
      <c r="F22" s="282"/>
      <c r="G22" s="471"/>
      <c r="H22" s="282">
        <v>-9</v>
      </c>
      <c r="I22" s="457"/>
      <c r="J22" s="455">
        <v>-2003</v>
      </c>
      <c r="K22" s="471"/>
      <c r="L22" s="455"/>
      <c r="M22" s="471"/>
      <c r="N22" s="455"/>
      <c r="O22" s="471"/>
      <c r="P22" s="455"/>
      <c r="Q22" s="471"/>
      <c r="R22" s="455"/>
      <c r="S22" s="94">
        <f t="shared" si="1"/>
        <v>-2012</v>
      </c>
    </row>
    <row r="23" spans="1:19" s="30" customFormat="1" x14ac:dyDescent="0.2">
      <c r="A23" s="451" t="s">
        <v>297</v>
      </c>
      <c r="B23" s="371" t="s">
        <v>31</v>
      </c>
      <c r="C23" s="471">
        <v>89655</v>
      </c>
      <c r="D23" s="455">
        <v>195735</v>
      </c>
      <c r="E23" s="471">
        <v>11149</v>
      </c>
      <c r="F23" s="282">
        <v>317954</v>
      </c>
      <c r="G23" s="471">
        <v>72524</v>
      </c>
      <c r="H23" s="282">
        <v>4236</v>
      </c>
      <c r="I23" s="457"/>
      <c r="J23" s="455">
        <v>62634</v>
      </c>
      <c r="K23" s="471"/>
      <c r="L23" s="455"/>
      <c r="M23" s="471"/>
      <c r="N23" s="455"/>
      <c r="O23" s="471"/>
      <c r="P23" s="455"/>
      <c r="Q23" s="471"/>
      <c r="R23" s="455"/>
      <c r="S23" s="94">
        <f t="shared" si="1"/>
        <v>753887</v>
      </c>
    </row>
    <row r="24" spans="1:19" x14ac:dyDescent="0.2">
      <c r="A24" s="503" t="s">
        <v>298</v>
      </c>
      <c r="B24" s="371" t="s">
        <v>32</v>
      </c>
      <c r="C24" s="79">
        <f>19222+12711</f>
        <v>31933</v>
      </c>
      <c r="D24" s="78">
        <f>1949+23081</f>
        <v>25030</v>
      </c>
      <c r="E24" s="79">
        <f>143896+21560</f>
        <v>165456</v>
      </c>
      <c r="F24" s="281">
        <f>27705</f>
        <v>27705</v>
      </c>
      <c r="G24" s="79">
        <f>11720</f>
        <v>11720</v>
      </c>
      <c r="H24" s="281">
        <v>4000</v>
      </c>
      <c r="I24" s="461"/>
      <c r="J24" s="78">
        <f>7312</f>
        <v>7312</v>
      </c>
      <c r="K24" s="79"/>
      <c r="L24" s="78"/>
      <c r="M24" s="79"/>
      <c r="N24" s="78"/>
      <c r="O24" s="79"/>
      <c r="P24" s="78">
        <f>104089-104089</f>
        <v>0</v>
      </c>
      <c r="Q24" s="79"/>
      <c r="R24" s="78"/>
      <c r="S24" s="94">
        <f t="shared" si="1"/>
        <v>273156</v>
      </c>
    </row>
    <row r="25" spans="1:19" x14ac:dyDescent="0.2">
      <c r="A25" s="503" t="s">
        <v>299</v>
      </c>
      <c r="B25" s="371" t="s">
        <v>37</v>
      </c>
      <c r="C25" s="79"/>
      <c r="D25" s="78"/>
      <c r="E25" s="79"/>
      <c r="F25" s="281"/>
      <c r="G25" s="79"/>
      <c r="H25" s="281">
        <f>30000+164650-164504</f>
        <v>30146</v>
      </c>
      <c r="I25" s="461"/>
      <c r="J25" s="78"/>
      <c r="K25" s="79">
        <f>648272+93128</f>
        <v>741400</v>
      </c>
      <c r="L25" s="78"/>
      <c r="M25" s="79"/>
      <c r="N25" s="78"/>
      <c r="O25" s="79"/>
      <c r="P25" s="78">
        <f>257778-257778+164504</f>
        <v>164504</v>
      </c>
      <c r="Q25" s="79"/>
      <c r="R25" s="78"/>
      <c r="S25" s="94">
        <f t="shared" si="1"/>
        <v>936050</v>
      </c>
    </row>
    <row r="26" spans="1:19" ht="24" x14ac:dyDescent="0.2">
      <c r="A26" s="503" t="s">
        <v>251</v>
      </c>
      <c r="B26" s="371" t="s">
        <v>181</v>
      </c>
      <c r="C26" s="79"/>
      <c r="D26" s="78"/>
      <c r="E26" s="79"/>
      <c r="F26" s="281"/>
      <c r="G26" s="79"/>
      <c r="H26" s="281"/>
      <c r="I26" s="461"/>
      <c r="J26" s="78"/>
      <c r="K26" s="79"/>
      <c r="L26" s="78"/>
      <c r="M26" s="79"/>
      <c r="N26" s="78"/>
      <c r="O26" s="79">
        <v>299719</v>
      </c>
      <c r="P26" s="78"/>
      <c r="Q26" s="79"/>
      <c r="R26" s="78"/>
      <c r="S26" s="94">
        <f t="shared" si="1"/>
        <v>299719</v>
      </c>
    </row>
    <row r="27" spans="1:19" x14ac:dyDescent="0.2">
      <c r="A27" s="503" t="s">
        <v>255</v>
      </c>
      <c r="B27" s="371" t="s">
        <v>32</v>
      </c>
      <c r="C27" s="471"/>
      <c r="D27" s="455"/>
      <c r="E27" s="471">
        <v>70000</v>
      </c>
      <c r="F27" s="282"/>
      <c r="G27" s="471"/>
      <c r="H27" s="282"/>
      <c r="I27" s="457"/>
      <c r="J27" s="455"/>
      <c r="K27" s="471"/>
      <c r="L27" s="455"/>
      <c r="M27" s="471"/>
      <c r="N27" s="455"/>
      <c r="O27" s="471"/>
      <c r="P27" s="455"/>
      <c r="Q27" s="471"/>
      <c r="R27" s="455"/>
      <c r="S27" s="94">
        <f t="shared" si="1"/>
        <v>70000</v>
      </c>
    </row>
    <row r="28" spans="1:19" s="30" customFormat="1" x14ac:dyDescent="0.2">
      <c r="A28" s="503" t="s">
        <v>258</v>
      </c>
      <c r="B28" s="371" t="s">
        <v>257</v>
      </c>
      <c r="C28" s="79">
        <v>78444</v>
      </c>
      <c r="D28" s="78">
        <v>6124</v>
      </c>
      <c r="E28" s="79">
        <v>23206</v>
      </c>
      <c r="F28" s="281">
        <v>16368</v>
      </c>
      <c r="G28" s="79">
        <v>28051</v>
      </c>
      <c r="H28" s="281">
        <v>1254</v>
      </c>
      <c r="I28" s="461"/>
      <c r="J28" s="78">
        <v>10600</v>
      </c>
      <c r="K28" s="79"/>
      <c r="L28" s="78"/>
      <c r="M28" s="79">
        <v>5953</v>
      </c>
      <c r="N28" s="78"/>
      <c r="O28" s="79"/>
      <c r="P28" s="78"/>
      <c r="Q28" s="79"/>
      <c r="R28" s="78"/>
      <c r="S28" s="94">
        <f t="shared" si="1"/>
        <v>170000</v>
      </c>
    </row>
    <row r="29" spans="1:19" s="30" customFormat="1" x14ac:dyDescent="0.2">
      <c r="A29" s="503" t="s">
        <v>259</v>
      </c>
      <c r="B29" s="371" t="s">
        <v>37</v>
      </c>
      <c r="C29" s="79"/>
      <c r="D29" s="78"/>
      <c r="E29" s="79"/>
      <c r="F29" s="281"/>
      <c r="G29" s="79"/>
      <c r="H29" s="281">
        <v>-42641</v>
      </c>
      <c r="I29" s="461"/>
      <c r="J29" s="78"/>
      <c r="K29" s="79">
        <v>102641</v>
      </c>
      <c r="L29" s="587"/>
      <c r="M29" s="79"/>
      <c r="N29" s="78"/>
      <c r="O29" s="79"/>
      <c r="P29" s="78"/>
      <c r="Q29" s="79"/>
      <c r="R29" s="78"/>
      <c r="S29" s="94">
        <f t="shared" si="1"/>
        <v>60000</v>
      </c>
    </row>
    <row r="30" spans="1:19" s="30" customFormat="1" x14ac:dyDescent="0.2">
      <c r="A30" s="503" t="s">
        <v>296</v>
      </c>
      <c r="B30" s="371" t="s">
        <v>31</v>
      </c>
      <c r="C30" s="79"/>
      <c r="D30" s="78"/>
      <c r="E30" s="79"/>
      <c r="F30" s="281"/>
      <c r="G30" s="79"/>
      <c r="H30" s="281"/>
      <c r="I30" s="461"/>
      <c r="J30" s="78"/>
      <c r="K30" s="79"/>
      <c r="L30" s="78"/>
      <c r="M30" s="79"/>
      <c r="N30" s="78"/>
      <c r="O30" s="79"/>
      <c r="P30" s="78">
        <v>669854</v>
      </c>
      <c r="Q30" s="79"/>
      <c r="R30" s="78"/>
      <c r="S30" s="94">
        <f t="shared" si="1"/>
        <v>669854</v>
      </c>
    </row>
    <row r="31" spans="1:19" s="30" customFormat="1" x14ac:dyDescent="0.2">
      <c r="A31" s="503" t="s">
        <v>290</v>
      </c>
      <c r="B31" s="371" t="s">
        <v>31</v>
      </c>
      <c r="C31" s="79"/>
      <c r="D31" s="78"/>
      <c r="E31" s="79"/>
      <c r="F31" s="281"/>
      <c r="G31" s="79"/>
      <c r="H31" s="281"/>
      <c r="I31" s="461"/>
      <c r="J31" s="78"/>
      <c r="K31" s="79"/>
      <c r="L31" s="78"/>
      <c r="M31" s="79"/>
      <c r="N31" s="78"/>
      <c r="O31" s="79"/>
      <c r="P31" s="599"/>
      <c r="Q31" s="602"/>
      <c r="R31" s="608">
        <f>113283</f>
        <v>113283</v>
      </c>
      <c r="S31" s="94">
        <f t="shared" si="1"/>
        <v>113283</v>
      </c>
    </row>
    <row r="32" spans="1:19" s="30" customFormat="1" x14ac:dyDescent="0.2">
      <c r="A32" s="503" t="s">
        <v>291</v>
      </c>
      <c r="B32" s="371" t="s">
        <v>32</v>
      </c>
      <c r="C32" s="471"/>
      <c r="D32" s="78"/>
      <c r="E32" s="471"/>
      <c r="F32" s="282"/>
      <c r="G32" s="471"/>
      <c r="H32" s="282"/>
      <c r="I32" s="457"/>
      <c r="J32" s="455"/>
      <c r="K32" s="471"/>
      <c r="L32" s="455"/>
      <c r="M32" s="471"/>
      <c r="N32" s="455"/>
      <c r="O32" s="471"/>
      <c r="P32" s="600"/>
      <c r="Q32" s="603"/>
      <c r="R32" s="609">
        <f>140044</f>
        <v>140044</v>
      </c>
      <c r="S32" s="94">
        <f t="shared" si="1"/>
        <v>140044</v>
      </c>
    </row>
    <row r="33" spans="1:19" s="30" customFormat="1" ht="24" x14ac:dyDescent="0.2">
      <c r="A33" s="503" t="s">
        <v>292</v>
      </c>
      <c r="B33" s="371" t="s">
        <v>293</v>
      </c>
      <c r="C33" s="471"/>
      <c r="D33" s="455"/>
      <c r="E33" s="471"/>
      <c r="F33" s="282"/>
      <c r="G33" s="471"/>
      <c r="H33" s="282"/>
      <c r="I33" s="457"/>
      <c r="J33" s="455"/>
      <c r="K33" s="471"/>
      <c r="L33" s="455"/>
      <c r="M33" s="471"/>
      <c r="N33" s="455"/>
      <c r="O33" s="471"/>
      <c r="P33" s="455"/>
      <c r="Q33" s="604"/>
      <c r="R33" s="610"/>
      <c r="S33" s="94">
        <f t="shared" si="1"/>
        <v>0</v>
      </c>
    </row>
    <row r="34" spans="1:19" x14ac:dyDescent="0.2">
      <c r="A34" s="503" t="s">
        <v>295</v>
      </c>
      <c r="B34" s="371" t="s">
        <v>37</v>
      </c>
      <c r="C34" s="79"/>
      <c r="D34" s="78"/>
      <c r="E34" s="79"/>
      <c r="F34" s="281">
        <v>14000</v>
      </c>
      <c r="G34" s="79"/>
      <c r="H34" s="281"/>
      <c r="I34" s="461"/>
      <c r="J34" s="78">
        <v>9200</v>
      </c>
      <c r="K34" s="79"/>
      <c r="L34" s="78"/>
      <c r="M34" s="79"/>
      <c r="N34" s="78"/>
      <c r="O34" s="79"/>
      <c r="P34" s="78"/>
      <c r="Q34" s="79"/>
      <c r="R34" s="78"/>
      <c r="S34" s="94">
        <f t="shared" si="1"/>
        <v>23200</v>
      </c>
    </row>
    <row r="35" spans="1:19" x14ac:dyDescent="0.2">
      <c r="A35" s="503" t="s">
        <v>294</v>
      </c>
      <c r="B35" s="525" t="s">
        <v>31</v>
      </c>
      <c r="C35" s="79"/>
      <c r="D35" s="78"/>
      <c r="E35" s="79"/>
      <c r="F35" s="281"/>
      <c r="G35" s="79"/>
      <c r="H35" s="281"/>
      <c r="I35" s="461"/>
      <c r="J35" s="78"/>
      <c r="K35" s="79"/>
      <c r="L35" s="78"/>
      <c r="M35" s="79"/>
      <c r="N35" s="78"/>
      <c r="O35" s="79">
        <v>3880</v>
      </c>
      <c r="P35" s="78"/>
      <c r="Q35" s="79"/>
      <c r="R35" s="78">
        <v>100000</v>
      </c>
      <c r="S35" s="94">
        <f t="shared" si="1"/>
        <v>103880</v>
      </c>
    </row>
    <row r="36" spans="1:19" x14ac:dyDescent="0.2">
      <c r="A36" s="503" t="s">
        <v>302</v>
      </c>
      <c r="B36" s="371" t="s">
        <v>31</v>
      </c>
      <c r="C36" s="79">
        <v>19794.7</v>
      </c>
      <c r="D36" s="78">
        <v>11347.33</v>
      </c>
      <c r="E36" s="79">
        <v>14637.98</v>
      </c>
      <c r="F36" s="281">
        <v>19232.87</v>
      </c>
      <c r="G36" s="79">
        <v>5863.74</v>
      </c>
      <c r="H36" s="281">
        <v>16607.009999999998</v>
      </c>
      <c r="I36" s="461"/>
      <c r="J36" s="78">
        <v>5401.94</v>
      </c>
      <c r="K36" s="79"/>
      <c r="L36" s="78"/>
      <c r="M36" s="79"/>
      <c r="N36" s="78"/>
      <c r="O36" s="79">
        <v>11662.43</v>
      </c>
      <c r="P36" s="599"/>
      <c r="Q36" s="605"/>
      <c r="R36" s="78">
        <v>62242</v>
      </c>
      <c r="S36" s="94">
        <f t="shared" si="1"/>
        <v>166790</v>
      </c>
    </row>
    <row r="37" spans="1:19" x14ac:dyDescent="0.2">
      <c r="A37" s="503" t="s">
        <v>301</v>
      </c>
      <c r="B37" s="371" t="s">
        <v>32</v>
      </c>
      <c r="C37" s="79">
        <v>1594.06</v>
      </c>
      <c r="D37" s="78">
        <v>1167.2</v>
      </c>
      <c r="E37" s="79">
        <v>2947.29</v>
      </c>
      <c r="F37" s="281">
        <v>4340.1899999999996</v>
      </c>
      <c r="G37" s="79"/>
      <c r="H37" s="281">
        <v>3552.17</v>
      </c>
      <c r="I37" s="461"/>
      <c r="J37" s="78">
        <v>184.49</v>
      </c>
      <c r="K37" s="79"/>
      <c r="L37" s="78"/>
      <c r="M37" s="79"/>
      <c r="N37" s="78"/>
      <c r="O37" s="79">
        <v>1555.6</v>
      </c>
      <c r="P37" s="599"/>
      <c r="Q37" s="79"/>
      <c r="R37" s="78"/>
      <c r="S37" s="94">
        <f t="shared" si="1"/>
        <v>15341</v>
      </c>
    </row>
    <row r="38" spans="1:19" x14ac:dyDescent="0.2">
      <c r="A38" s="503" t="s">
        <v>301</v>
      </c>
      <c r="B38" s="78" t="s">
        <v>37</v>
      </c>
      <c r="C38" s="79"/>
      <c r="D38" s="78"/>
      <c r="E38" s="79"/>
      <c r="F38" s="281"/>
      <c r="G38" s="79"/>
      <c r="H38" s="281">
        <v>2186.81</v>
      </c>
      <c r="I38" s="461"/>
      <c r="J38" s="78"/>
      <c r="K38" s="79">
        <v>5485.19</v>
      </c>
      <c r="L38" s="78"/>
      <c r="M38" s="79"/>
      <c r="N38" s="78"/>
      <c r="O38" s="79"/>
      <c r="P38" s="599"/>
      <c r="Q38" s="602"/>
      <c r="R38" s="608"/>
      <c r="S38" s="94">
        <f t="shared" si="1"/>
        <v>7672</v>
      </c>
    </row>
    <row r="39" spans="1:19" x14ac:dyDescent="0.2">
      <c r="A39" s="503" t="s">
        <v>300</v>
      </c>
      <c r="B39" s="78" t="s">
        <v>31</v>
      </c>
      <c r="C39" s="471"/>
      <c r="D39" s="78"/>
      <c r="E39" s="471"/>
      <c r="F39" s="282"/>
      <c r="G39" s="471"/>
      <c r="H39" s="282"/>
      <c r="I39" s="457"/>
      <c r="J39" s="455"/>
      <c r="K39" s="471"/>
      <c r="L39" s="455"/>
      <c r="M39" s="471"/>
      <c r="N39" s="455"/>
      <c r="O39" s="471"/>
      <c r="P39" s="600"/>
      <c r="Q39" s="603"/>
      <c r="R39" s="609">
        <v>715086</v>
      </c>
      <c r="S39" s="94">
        <f t="shared" si="1"/>
        <v>715086</v>
      </c>
    </row>
    <row r="40" spans="1:19" x14ac:dyDescent="0.2">
      <c r="A40" s="453"/>
      <c r="B40" s="371"/>
      <c r="C40" s="547"/>
      <c r="D40" s="455"/>
      <c r="E40" s="471"/>
      <c r="F40" s="282"/>
      <c r="G40" s="471"/>
      <c r="H40" s="282"/>
      <c r="I40" s="457"/>
      <c r="J40" s="455"/>
      <c r="K40" s="471"/>
      <c r="L40" s="455"/>
      <c r="M40" s="471"/>
      <c r="N40" s="455"/>
      <c r="O40" s="471"/>
      <c r="P40" s="455"/>
      <c r="Q40" s="604"/>
      <c r="R40" s="455"/>
      <c r="S40" s="94">
        <f t="shared" si="1"/>
        <v>0</v>
      </c>
    </row>
    <row r="41" spans="1:19" hidden="1" x14ac:dyDescent="0.2">
      <c r="A41" s="503"/>
      <c r="B41" s="525"/>
      <c r="C41" s="544"/>
      <c r="D41" s="78"/>
      <c r="E41" s="79"/>
      <c r="F41" s="281"/>
      <c r="G41" s="79"/>
      <c r="H41" s="281"/>
      <c r="I41" s="461"/>
      <c r="J41" s="78"/>
      <c r="K41" s="79"/>
      <c r="L41" s="78"/>
      <c r="M41" s="79"/>
      <c r="N41" s="78"/>
      <c r="O41" s="79"/>
      <c r="P41" s="78"/>
      <c r="Q41" s="79"/>
      <c r="R41" s="78"/>
      <c r="S41" s="94">
        <f t="shared" si="1"/>
        <v>0</v>
      </c>
    </row>
    <row r="42" spans="1:19" hidden="1" x14ac:dyDescent="0.2">
      <c r="A42" s="503"/>
      <c r="B42" s="526"/>
      <c r="C42" s="544"/>
      <c r="D42" s="78"/>
      <c r="E42" s="79"/>
      <c r="F42" s="281"/>
      <c r="G42" s="79"/>
      <c r="H42" s="281"/>
      <c r="I42" s="461"/>
      <c r="J42" s="78"/>
      <c r="K42" s="79"/>
      <c r="L42" s="78"/>
      <c r="M42" s="79"/>
      <c r="N42" s="78"/>
      <c r="O42" s="79"/>
      <c r="P42" s="78"/>
      <c r="Q42" s="79"/>
      <c r="R42" s="78"/>
      <c r="S42" s="94">
        <f t="shared" si="1"/>
        <v>0</v>
      </c>
    </row>
    <row r="43" spans="1:19" hidden="1" x14ac:dyDescent="0.2">
      <c r="A43" s="503"/>
      <c r="B43" s="526"/>
      <c r="C43" s="544"/>
      <c r="D43" s="78"/>
      <c r="E43" s="79"/>
      <c r="F43" s="281"/>
      <c r="G43" s="79"/>
      <c r="H43" s="281"/>
      <c r="I43" s="461"/>
      <c r="J43" s="78"/>
      <c r="K43" s="79"/>
      <c r="L43" s="78"/>
      <c r="M43" s="79"/>
      <c r="N43" s="78"/>
      <c r="O43" s="79"/>
      <c r="P43" s="78"/>
      <c r="Q43" s="79"/>
      <c r="R43" s="78"/>
      <c r="S43" s="94">
        <f t="shared" si="1"/>
        <v>0</v>
      </c>
    </row>
    <row r="44" spans="1:19" hidden="1" x14ac:dyDescent="0.2">
      <c r="A44" s="503"/>
      <c r="B44" s="526"/>
      <c r="C44" s="544"/>
      <c r="D44" s="78"/>
      <c r="E44" s="79"/>
      <c r="F44" s="281"/>
      <c r="G44" s="79"/>
      <c r="H44" s="281"/>
      <c r="I44" s="461"/>
      <c r="J44" s="78"/>
      <c r="K44" s="79"/>
      <c r="L44" s="78"/>
      <c r="M44" s="79"/>
      <c r="N44" s="78"/>
      <c r="O44" s="79"/>
      <c r="P44" s="78"/>
      <c r="Q44" s="79"/>
      <c r="R44" s="78"/>
      <c r="S44" s="94">
        <f t="shared" si="1"/>
        <v>0</v>
      </c>
    </row>
    <row r="45" spans="1:19" hidden="1" x14ac:dyDescent="0.2">
      <c r="A45" s="503"/>
      <c r="B45" s="526"/>
      <c r="C45" s="544"/>
      <c r="D45" s="78"/>
      <c r="E45" s="79"/>
      <c r="F45" s="281"/>
      <c r="G45" s="79"/>
      <c r="H45" s="281"/>
      <c r="I45" s="461"/>
      <c r="J45" s="78"/>
      <c r="K45" s="79"/>
      <c r="L45" s="78"/>
      <c r="M45" s="79"/>
      <c r="N45" s="78"/>
      <c r="O45" s="79"/>
      <c r="P45" s="78"/>
      <c r="Q45" s="79"/>
      <c r="R45" s="78"/>
      <c r="S45" s="94">
        <f t="shared" si="1"/>
        <v>0</v>
      </c>
    </row>
    <row r="46" spans="1:19" hidden="1" x14ac:dyDescent="0.2">
      <c r="A46" s="503"/>
      <c r="B46" s="526"/>
      <c r="C46" s="544"/>
      <c r="D46" s="78"/>
      <c r="E46" s="79"/>
      <c r="F46" s="281"/>
      <c r="G46" s="79"/>
      <c r="H46" s="281"/>
      <c r="I46" s="461"/>
      <c r="J46" s="78"/>
      <c r="K46" s="79"/>
      <c r="L46" s="78"/>
      <c r="M46" s="79"/>
      <c r="N46" s="78"/>
      <c r="O46" s="79"/>
      <c r="P46" s="78"/>
      <c r="Q46" s="79"/>
      <c r="R46" s="78"/>
      <c r="S46" s="94">
        <f t="shared" si="1"/>
        <v>0</v>
      </c>
    </row>
    <row r="47" spans="1:19" hidden="1" x14ac:dyDescent="0.2">
      <c r="A47" s="503"/>
      <c r="B47" s="371"/>
      <c r="C47" s="544"/>
      <c r="D47" s="78"/>
      <c r="E47" s="79"/>
      <c r="F47" s="281"/>
      <c r="G47" s="79"/>
      <c r="H47" s="281"/>
      <c r="I47" s="461"/>
      <c r="J47" s="78"/>
      <c r="K47" s="79"/>
      <c r="L47" s="78"/>
      <c r="M47" s="79"/>
      <c r="N47" s="78"/>
      <c r="O47" s="79"/>
      <c r="P47" s="78"/>
      <c r="Q47" s="79"/>
      <c r="R47" s="78"/>
      <c r="S47" s="94">
        <f t="shared" si="1"/>
        <v>0</v>
      </c>
    </row>
    <row r="48" spans="1:19" hidden="1" x14ac:dyDescent="0.2">
      <c r="A48" s="504"/>
      <c r="B48" s="371"/>
      <c r="C48" s="544"/>
      <c r="D48" s="78"/>
      <c r="E48" s="79"/>
      <c r="F48" s="281"/>
      <c r="G48" s="79"/>
      <c r="H48" s="281"/>
      <c r="I48" s="461"/>
      <c r="J48" s="78"/>
      <c r="K48" s="79"/>
      <c r="L48" s="78"/>
      <c r="M48" s="79"/>
      <c r="N48" s="78"/>
      <c r="O48" s="79"/>
      <c r="P48" s="78"/>
      <c r="Q48" s="579"/>
      <c r="R48" s="78"/>
      <c r="S48" s="94">
        <f t="shared" si="1"/>
        <v>0</v>
      </c>
    </row>
    <row r="49" spans="1:19" hidden="1" x14ac:dyDescent="0.2">
      <c r="A49" s="504"/>
      <c r="B49" s="371"/>
      <c r="C49" s="544"/>
      <c r="D49" s="78"/>
      <c r="E49" s="79"/>
      <c r="F49" s="281"/>
      <c r="G49" s="79"/>
      <c r="H49" s="281"/>
      <c r="I49" s="461"/>
      <c r="J49" s="78"/>
      <c r="K49" s="79"/>
      <c r="L49" s="78"/>
      <c r="M49" s="79"/>
      <c r="N49" s="78"/>
      <c r="O49" s="597"/>
      <c r="P49" s="78"/>
      <c r="Q49" s="579"/>
      <c r="R49" s="78"/>
      <c r="S49" s="94">
        <f t="shared" si="1"/>
        <v>0</v>
      </c>
    </row>
    <row r="50" spans="1:19" hidden="1" x14ac:dyDescent="0.2">
      <c r="A50" s="504"/>
      <c r="B50" s="371"/>
      <c r="C50" s="544"/>
      <c r="D50" s="78"/>
      <c r="E50" s="79"/>
      <c r="F50" s="281"/>
      <c r="G50" s="79"/>
      <c r="H50" s="281"/>
      <c r="I50" s="461"/>
      <c r="J50" s="78"/>
      <c r="K50" s="79"/>
      <c r="L50" s="78"/>
      <c r="M50" s="79"/>
      <c r="N50" s="78"/>
      <c r="O50" s="79"/>
      <c r="P50" s="78"/>
      <c r="Q50" s="79"/>
      <c r="R50" s="78"/>
      <c r="S50" s="94">
        <f t="shared" si="1"/>
        <v>0</v>
      </c>
    </row>
    <row r="51" spans="1:19" hidden="1" x14ac:dyDescent="0.2">
      <c r="A51" s="504"/>
      <c r="B51" s="371"/>
      <c r="C51" s="544"/>
      <c r="D51" s="78"/>
      <c r="E51" s="79"/>
      <c r="F51" s="281"/>
      <c r="G51" s="79"/>
      <c r="H51" s="281"/>
      <c r="I51" s="461"/>
      <c r="J51" s="78"/>
      <c r="K51" s="79"/>
      <c r="L51" s="78"/>
      <c r="M51" s="79"/>
      <c r="N51" s="78"/>
      <c r="O51" s="79"/>
      <c r="P51" s="78"/>
      <c r="Q51" s="79"/>
      <c r="R51" s="78"/>
      <c r="S51" s="94">
        <f t="shared" si="1"/>
        <v>0</v>
      </c>
    </row>
    <row r="52" spans="1:19" hidden="1" x14ac:dyDescent="0.2">
      <c r="A52" s="504"/>
      <c r="B52" s="371"/>
      <c r="C52" s="544"/>
      <c r="D52" s="78"/>
      <c r="E52" s="79"/>
      <c r="F52" s="281"/>
      <c r="G52" s="79"/>
      <c r="H52" s="281"/>
      <c r="I52" s="461"/>
      <c r="J52" s="78"/>
      <c r="K52" s="79"/>
      <c r="L52" s="78"/>
      <c r="M52" s="79"/>
      <c r="N52" s="78"/>
      <c r="O52" s="79"/>
      <c r="P52" s="78"/>
      <c r="Q52" s="79"/>
      <c r="R52" s="78"/>
      <c r="S52" s="94">
        <f t="shared" si="1"/>
        <v>0</v>
      </c>
    </row>
    <row r="53" spans="1:19" hidden="1" x14ac:dyDescent="0.2">
      <c r="A53" s="453"/>
      <c r="B53" s="371"/>
      <c r="C53" s="544"/>
      <c r="D53" s="78"/>
      <c r="E53" s="79"/>
      <c r="F53" s="281"/>
      <c r="G53" s="79"/>
      <c r="H53" s="281"/>
      <c r="I53" s="461"/>
      <c r="J53" s="78"/>
      <c r="K53" s="79"/>
      <c r="L53" s="78"/>
      <c r="M53" s="79"/>
      <c r="N53" s="78"/>
      <c r="O53" s="79"/>
      <c r="P53" s="78"/>
      <c r="Q53" s="79"/>
      <c r="R53" s="78"/>
      <c r="S53" s="94">
        <f t="shared" si="1"/>
        <v>0</v>
      </c>
    </row>
    <row r="54" spans="1:19" hidden="1" x14ac:dyDescent="0.2">
      <c r="A54" s="453"/>
      <c r="B54" s="371"/>
      <c r="C54" s="544"/>
      <c r="D54" s="78"/>
      <c r="E54" s="79"/>
      <c r="F54" s="281"/>
      <c r="G54" s="79"/>
      <c r="H54" s="281"/>
      <c r="I54" s="461"/>
      <c r="J54" s="78"/>
      <c r="K54" s="79"/>
      <c r="L54" s="78"/>
      <c r="M54" s="79"/>
      <c r="N54" s="78"/>
      <c r="O54" s="79"/>
      <c r="P54" s="78"/>
      <c r="Q54" s="79"/>
      <c r="R54" s="78"/>
      <c r="S54" s="94">
        <f t="shared" si="1"/>
        <v>0</v>
      </c>
    </row>
    <row r="55" spans="1:19" hidden="1" x14ac:dyDescent="0.2">
      <c r="A55" s="453"/>
      <c r="B55" s="371"/>
      <c r="C55" s="544"/>
      <c r="D55" s="78"/>
      <c r="E55" s="79"/>
      <c r="F55" s="281"/>
      <c r="G55" s="79"/>
      <c r="H55" s="281"/>
      <c r="I55" s="461"/>
      <c r="J55" s="78"/>
      <c r="K55" s="79"/>
      <c r="L55" s="78"/>
      <c r="M55" s="79"/>
      <c r="N55" s="78"/>
      <c r="O55" s="79"/>
      <c r="P55" s="78"/>
      <c r="Q55" s="79"/>
      <c r="R55" s="78"/>
      <c r="S55" s="94">
        <f t="shared" si="1"/>
        <v>0</v>
      </c>
    </row>
    <row r="56" spans="1:19" hidden="1" x14ac:dyDescent="0.2">
      <c r="A56" s="453"/>
      <c r="B56" s="371"/>
      <c r="C56" s="544"/>
      <c r="D56" s="78"/>
      <c r="E56" s="566"/>
      <c r="F56" s="93"/>
      <c r="G56" s="79"/>
      <c r="H56" s="281"/>
      <c r="I56" s="461"/>
      <c r="J56" s="78"/>
      <c r="K56" s="79"/>
      <c r="L56" s="78"/>
      <c r="M56" s="79"/>
      <c r="N56" s="78"/>
      <c r="O56" s="79"/>
      <c r="P56" s="78"/>
      <c r="Q56" s="79"/>
      <c r="R56" s="78"/>
      <c r="S56" s="94">
        <f>SUM(C56:R56)-S57-S58</f>
        <v>0</v>
      </c>
    </row>
    <row r="57" spans="1:19" hidden="1" x14ac:dyDescent="0.2">
      <c r="A57" s="453"/>
      <c r="B57" s="371"/>
      <c r="C57" s="544"/>
      <c r="D57" s="78"/>
      <c r="E57" s="566"/>
      <c r="F57" s="93"/>
      <c r="G57" s="79"/>
      <c r="H57" s="281"/>
      <c r="I57" s="461"/>
      <c r="J57" s="78"/>
      <c r="K57" s="79"/>
      <c r="L57" s="78"/>
      <c r="M57" s="79"/>
      <c r="N57" s="78"/>
      <c r="O57" s="79"/>
      <c r="P57" s="78"/>
      <c r="Q57" s="79"/>
      <c r="R57" s="78"/>
      <c r="S57" s="94">
        <f t="shared" ref="S57:S121" si="2">SUM(C57:R57)</f>
        <v>0</v>
      </c>
    </row>
    <row r="58" spans="1:19" hidden="1" x14ac:dyDescent="0.2">
      <c r="A58" s="453"/>
      <c r="B58" s="371"/>
      <c r="C58" s="544"/>
      <c r="D58" s="78"/>
      <c r="E58" s="566"/>
      <c r="F58" s="93"/>
      <c r="G58" s="79"/>
      <c r="H58" s="281"/>
      <c r="I58" s="461"/>
      <c r="J58" s="78"/>
      <c r="K58" s="79"/>
      <c r="L58" s="78"/>
      <c r="M58" s="79"/>
      <c r="N58" s="78"/>
      <c r="O58" s="79"/>
      <c r="P58" s="78"/>
      <c r="Q58" s="79"/>
      <c r="R58" s="78"/>
      <c r="S58" s="94">
        <f t="shared" si="2"/>
        <v>0</v>
      </c>
    </row>
    <row r="59" spans="1:19" hidden="1" x14ac:dyDescent="0.2">
      <c r="A59" s="453"/>
      <c r="B59" s="371"/>
      <c r="C59" s="544"/>
      <c r="D59" s="78"/>
      <c r="E59" s="79"/>
      <c r="F59" s="93"/>
      <c r="G59" s="79"/>
      <c r="H59" s="281"/>
      <c r="I59" s="461"/>
      <c r="J59" s="78"/>
      <c r="K59" s="79"/>
      <c r="L59" s="78"/>
      <c r="M59" s="79"/>
      <c r="N59" s="78"/>
      <c r="O59" s="79"/>
      <c r="P59" s="78"/>
      <c r="Q59" s="79"/>
      <c r="R59" s="78"/>
      <c r="S59" s="94">
        <f t="shared" si="2"/>
        <v>0</v>
      </c>
    </row>
    <row r="60" spans="1:19" hidden="1" x14ac:dyDescent="0.2">
      <c r="A60" s="453"/>
      <c r="B60" s="371"/>
      <c r="C60" s="544"/>
      <c r="D60" s="78"/>
      <c r="E60" s="79"/>
      <c r="F60" s="93"/>
      <c r="G60" s="79"/>
      <c r="H60" s="281"/>
      <c r="I60" s="461"/>
      <c r="J60" s="78"/>
      <c r="K60" s="79"/>
      <c r="L60" s="78"/>
      <c r="M60" s="79"/>
      <c r="N60" s="78"/>
      <c r="O60" s="79"/>
      <c r="P60" s="78"/>
      <c r="Q60" s="79"/>
      <c r="R60" s="78"/>
      <c r="S60" s="94">
        <f t="shared" si="2"/>
        <v>0</v>
      </c>
    </row>
    <row r="61" spans="1:19" hidden="1" x14ac:dyDescent="0.2">
      <c r="A61" s="453"/>
      <c r="B61" s="371"/>
      <c r="C61" s="548"/>
      <c r="D61" s="93"/>
      <c r="E61" s="79"/>
      <c r="F61" s="281"/>
      <c r="G61" s="79"/>
      <c r="H61" s="93"/>
      <c r="I61" s="566"/>
      <c r="J61" s="78"/>
      <c r="K61" s="79"/>
      <c r="L61" s="78"/>
      <c r="M61" s="79"/>
      <c r="N61" s="78"/>
      <c r="O61" s="79"/>
      <c r="P61" s="78"/>
      <c r="Q61" s="79"/>
      <c r="R61" s="78"/>
      <c r="S61" s="94">
        <f t="shared" si="2"/>
        <v>0</v>
      </c>
    </row>
    <row r="62" spans="1:19" hidden="1" x14ac:dyDescent="0.2">
      <c r="A62" s="453"/>
      <c r="B62" s="371"/>
      <c r="C62" s="544"/>
      <c r="D62" s="78"/>
      <c r="E62" s="79"/>
      <c r="F62" s="281"/>
      <c r="G62" s="79"/>
      <c r="H62" s="281"/>
      <c r="I62" s="461"/>
      <c r="J62" s="78"/>
      <c r="K62" s="79"/>
      <c r="L62" s="78"/>
      <c r="M62" s="79"/>
      <c r="N62" s="78"/>
      <c r="O62" s="79"/>
      <c r="P62" s="78"/>
      <c r="Q62" s="79"/>
      <c r="R62" s="78"/>
      <c r="S62" s="94">
        <f t="shared" si="2"/>
        <v>0</v>
      </c>
    </row>
    <row r="63" spans="1:19" hidden="1" x14ac:dyDescent="0.2">
      <c r="A63" s="503"/>
      <c r="B63" s="371"/>
      <c r="C63" s="544"/>
      <c r="D63" s="78"/>
      <c r="E63" s="566"/>
      <c r="F63" s="93"/>
      <c r="G63" s="79"/>
      <c r="H63" s="281"/>
      <c r="I63" s="461"/>
      <c r="J63" s="78"/>
      <c r="K63" s="79"/>
      <c r="L63" s="78"/>
      <c r="M63" s="79"/>
      <c r="N63" s="78"/>
      <c r="O63" s="79"/>
      <c r="P63" s="78"/>
      <c r="Q63" s="79"/>
      <c r="R63" s="78"/>
      <c r="S63" s="94">
        <f t="shared" si="2"/>
        <v>0</v>
      </c>
    </row>
    <row r="64" spans="1:19" hidden="1" x14ac:dyDescent="0.2">
      <c r="A64" s="503"/>
      <c r="B64" s="371"/>
      <c r="C64" s="544"/>
      <c r="D64" s="78"/>
      <c r="E64" s="79"/>
      <c r="F64" s="93"/>
      <c r="G64" s="79"/>
      <c r="H64" s="281"/>
      <c r="I64" s="461"/>
      <c r="J64" s="78"/>
      <c r="K64" s="79"/>
      <c r="L64" s="78"/>
      <c r="M64" s="79"/>
      <c r="N64" s="78"/>
      <c r="O64" s="79"/>
      <c r="P64" s="78"/>
      <c r="Q64" s="79"/>
      <c r="R64" s="78"/>
      <c r="S64" s="94">
        <f t="shared" si="2"/>
        <v>0</v>
      </c>
    </row>
    <row r="65" spans="1:19" hidden="1" x14ac:dyDescent="0.2">
      <c r="A65" s="503"/>
      <c r="B65" s="371"/>
      <c r="C65" s="544"/>
      <c r="D65" s="78"/>
      <c r="E65" s="79"/>
      <c r="F65" s="93"/>
      <c r="G65" s="79"/>
      <c r="H65" s="281"/>
      <c r="I65" s="461"/>
      <c r="J65" s="78"/>
      <c r="K65" s="79"/>
      <c r="L65" s="78"/>
      <c r="M65" s="79"/>
      <c r="N65" s="78"/>
      <c r="O65" s="79"/>
      <c r="P65" s="78"/>
      <c r="Q65" s="79"/>
      <c r="R65" s="78"/>
      <c r="S65" s="94">
        <f t="shared" si="2"/>
        <v>0</v>
      </c>
    </row>
    <row r="66" spans="1:19" hidden="1" x14ac:dyDescent="0.2">
      <c r="A66" s="503"/>
      <c r="B66" s="371"/>
      <c r="C66" s="544"/>
      <c r="D66" s="78"/>
      <c r="E66" s="79"/>
      <c r="F66" s="93"/>
      <c r="G66" s="79"/>
      <c r="H66" s="281"/>
      <c r="I66" s="461"/>
      <c r="J66" s="78"/>
      <c r="K66" s="79"/>
      <c r="L66" s="78"/>
      <c r="M66" s="79"/>
      <c r="N66" s="78"/>
      <c r="O66" s="79"/>
      <c r="P66" s="78"/>
      <c r="Q66" s="79"/>
      <c r="R66" s="78"/>
      <c r="S66" s="94">
        <f t="shared" si="2"/>
        <v>0</v>
      </c>
    </row>
    <row r="67" spans="1:19" hidden="1" x14ac:dyDescent="0.2">
      <c r="A67" s="503"/>
      <c r="B67" s="371"/>
      <c r="C67" s="544"/>
      <c r="D67" s="78"/>
      <c r="E67" s="79"/>
      <c r="F67" s="93"/>
      <c r="G67" s="79"/>
      <c r="H67" s="281"/>
      <c r="I67" s="461"/>
      <c r="J67" s="78"/>
      <c r="K67" s="79"/>
      <c r="L67" s="78"/>
      <c r="M67" s="79"/>
      <c r="N67" s="78"/>
      <c r="O67" s="79"/>
      <c r="P67" s="78"/>
      <c r="Q67" s="79"/>
      <c r="R67" s="78"/>
      <c r="S67" s="94">
        <f t="shared" si="2"/>
        <v>0</v>
      </c>
    </row>
    <row r="68" spans="1:19" hidden="1" x14ac:dyDescent="0.2">
      <c r="A68" s="503"/>
      <c r="B68" s="526"/>
      <c r="C68" s="544"/>
      <c r="D68" s="78"/>
      <c r="E68" s="79"/>
      <c r="F68" s="281"/>
      <c r="G68" s="79"/>
      <c r="H68" s="281"/>
      <c r="I68" s="461"/>
      <c r="J68" s="78"/>
      <c r="K68" s="79"/>
      <c r="L68" s="78"/>
      <c r="M68" s="79"/>
      <c r="N68" s="78"/>
      <c r="O68" s="79"/>
      <c r="P68" s="78"/>
      <c r="Q68" s="79"/>
      <c r="R68" s="78"/>
      <c r="S68" s="94">
        <f t="shared" si="2"/>
        <v>0</v>
      </c>
    </row>
    <row r="69" spans="1:19" hidden="1" x14ac:dyDescent="0.2">
      <c r="A69" s="503"/>
      <c r="B69" s="371"/>
      <c r="C69" s="544"/>
      <c r="D69" s="78"/>
      <c r="E69" s="79"/>
      <c r="F69" s="281"/>
      <c r="G69" s="79"/>
      <c r="H69" s="281"/>
      <c r="I69" s="461"/>
      <c r="J69" s="78"/>
      <c r="K69" s="79"/>
      <c r="L69" s="78"/>
      <c r="M69" s="79"/>
      <c r="N69" s="78"/>
      <c r="O69" s="79"/>
      <c r="P69" s="78"/>
      <c r="Q69" s="79"/>
      <c r="R69" s="78"/>
      <c r="S69" s="94">
        <f t="shared" si="2"/>
        <v>0</v>
      </c>
    </row>
    <row r="70" spans="1:19" hidden="1" x14ac:dyDescent="0.2">
      <c r="A70" s="503"/>
      <c r="B70" s="371"/>
      <c r="C70" s="544"/>
      <c r="D70" s="78"/>
      <c r="E70" s="79"/>
      <c r="F70" s="281"/>
      <c r="G70" s="79"/>
      <c r="H70" s="281"/>
      <c r="I70" s="461"/>
      <c r="J70" s="78"/>
      <c r="K70" s="79"/>
      <c r="L70" s="78"/>
      <c r="M70" s="79"/>
      <c r="N70" s="78"/>
      <c r="O70" s="79"/>
      <c r="P70" s="78"/>
      <c r="Q70" s="79"/>
      <c r="R70" s="78"/>
      <c r="S70" s="94">
        <f t="shared" si="2"/>
        <v>0</v>
      </c>
    </row>
    <row r="71" spans="1:19" hidden="1" x14ac:dyDescent="0.2">
      <c r="A71" s="504"/>
      <c r="B71" s="371"/>
      <c r="C71" s="544"/>
      <c r="D71" s="78"/>
      <c r="E71" s="79"/>
      <c r="F71" s="93"/>
      <c r="G71" s="79"/>
      <c r="H71" s="281"/>
      <c r="I71" s="461"/>
      <c r="J71" s="78"/>
      <c r="K71" s="79"/>
      <c r="L71" s="78"/>
      <c r="M71" s="79"/>
      <c r="N71" s="78"/>
      <c r="O71" s="79"/>
      <c r="P71" s="78"/>
      <c r="Q71" s="79"/>
      <c r="R71" s="78"/>
      <c r="S71" s="94">
        <f t="shared" si="2"/>
        <v>0</v>
      </c>
    </row>
    <row r="72" spans="1:19" hidden="1" x14ac:dyDescent="0.2">
      <c r="A72" s="504"/>
      <c r="B72" s="371"/>
      <c r="C72" s="544"/>
      <c r="D72" s="78"/>
      <c r="E72" s="79"/>
      <c r="F72" s="93"/>
      <c r="G72" s="79"/>
      <c r="H72" s="281"/>
      <c r="I72" s="461"/>
      <c r="J72" s="78"/>
      <c r="K72" s="79"/>
      <c r="L72" s="78"/>
      <c r="M72" s="79"/>
      <c r="N72" s="78"/>
      <c r="O72" s="79"/>
      <c r="P72" s="78"/>
      <c r="Q72" s="79"/>
      <c r="R72" s="78"/>
      <c r="S72" s="94">
        <f t="shared" si="2"/>
        <v>0</v>
      </c>
    </row>
    <row r="73" spans="1:19" hidden="1" x14ac:dyDescent="0.2">
      <c r="A73" s="504"/>
      <c r="B73" s="371"/>
      <c r="C73" s="544"/>
      <c r="D73" s="78"/>
      <c r="E73" s="79"/>
      <c r="F73" s="93"/>
      <c r="G73" s="79"/>
      <c r="H73" s="281"/>
      <c r="I73" s="461"/>
      <c r="J73" s="78"/>
      <c r="K73" s="79"/>
      <c r="L73" s="78"/>
      <c r="M73" s="79"/>
      <c r="N73" s="78"/>
      <c r="O73" s="79"/>
      <c r="P73" s="78"/>
      <c r="Q73" s="79"/>
      <c r="R73" s="78"/>
      <c r="S73" s="94">
        <f t="shared" si="2"/>
        <v>0</v>
      </c>
    </row>
    <row r="74" spans="1:19" hidden="1" x14ac:dyDescent="0.2">
      <c r="A74" s="504"/>
      <c r="B74" s="526"/>
      <c r="C74" s="544"/>
      <c r="D74" s="78"/>
      <c r="E74" s="79"/>
      <c r="F74" s="93"/>
      <c r="G74" s="79"/>
      <c r="H74" s="281"/>
      <c r="I74" s="461"/>
      <c r="J74" s="78"/>
      <c r="K74" s="79"/>
      <c r="L74" s="78"/>
      <c r="M74" s="79"/>
      <c r="N74" s="78"/>
      <c r="O74" s="79"/>
      <c r="P74" s="78"/>
      <c r="Q74" s="79"/>
      <c r="R74" s="78"/>
      <c r="S74" s="94">
        <f t="shared" si="2"/>
        <v>0</v>
      </c>
    </row>
    <row r="75" spans="1:19" hidden="1" x14ac:dyDescent="0.2">
      <c r="A75" s="503"/>
      <c r="B75" s="527"/>
      <c r="C75" s="548"/>
      <c r="D75" s="93"/>
      <c r="E75" s="79"/>
      <c r="F75" s="281"/>
      <c r="G75" s="79"/>
      <c r="H75" s="93"/>
      <c r="I75" s="566"/>
      <c r="J75" s="78"/>
      <c r="K75" s="79"/>
      <c r="L75" s="78"/>
      <c r="M75" s="79"/>
      <c r="N75" s="78"/>
      <c r="O75" s="79"/>
      <c r="P75" s="78"/>
      <c r="Q75" s="79"/>
      <c r="R75" s="78"/>
      <c r="S75" s="94">
        <f t="shared" si="2"/>
        <v>0</v>
      </c>
    </row>
    <row r="76" spans="1:19" x14ac:dyDescent="0.2">
      <c r="A76" s="505" t="s">
        <v>38</v>
      </c>
      <c r="B76" s="528"/>
      <c r="C76" s="544"/>
      <c r="D76" s="78"/>
      <c r="E76" s="79"/>
      <c r="F76" s="281"/>
      <c r="G76" s="79"/>
      <c r="H76" s="281"/>
      <c r="I76" s="461"/>
      <c r="J76" s="78"/>
      <c r="K76" s="579"/>
      <c r="L76" s="588"/>
      <c r="M76" s="79"/>
      <c r="N76" s="78"/>
      <c r="O76" s="579"/>
      <c r="P76" s="588"/>
      <c r="Q76" s="579"/>
      <c r="R76" s="588"/>
      <c r="S76" s="94">
        <f t="shared" si="2"/>
        <v>0</v>
      </c>
    </row>
    <row r="77" spans="1:19" x14ac:dyDescent="0.2">
      <c r="A77" s="506" t="s">
        <v>39</v>
      </c>
      <c r="B77" s="529" t="s">
        <v>24</v>
      </c>
      <c r="C77" s="549"/>
      <c r="D77" s="558">
        <v>4940</v>
      </c>
      <c r="E77" s="549"/>
      <c r="F77" s="561">
        <v>-4940</v>
      </c>
      <c r="G77" s="549"/>
      <c r="H77" s="561"/>
      <c r="I77" s="552"/>
      <c r="J77" s="558"/>
      <c r="K77" s="580"/>
      <c r="L77" s="589"/>
      <c r="M77" s="549"/>
      <c r="N77" s="558"/>
      <c r="O77" s="580"/>
      <c r="P77" s="589"/>
      <c r="Q77" s="580"/>
      <c r="R77" s="589"/>
      <c r="S77" s="607">
        <f t="shared" si="2"/>
        <v>0</v>
      </c>
    </row>
    <row r="78" spans="1:19" x14ac:dyDescent="0.2">
      <c r="A78" s="506" t="s">
        <v>196</v>
      </c>
      <c r="B78" s="529" t="s">
        <v>24</v>
      </c>
      <c r="C78" s="549"/>
      <c r="D78" s="558">
        <v>-19600</v>
      </c>
      <c r="E78" s="549"/>
      <c r="F78" s="561"/>
      <c r="G78" s="549"/>
      <c r="H78" s="561"/>
      <c r="I78" s="552"/>
      <c r="J78" s="558">
        <v>19600</v>
      </c>
      <c r="K78" s="580"/>
      <c r="L78" s="589"/>
      <c r="M78" s="549"/>
      <c r="N78" s="558"/>
      <c r="O78" s="580"/>
      <c r="P78" s="589"/>
      <c r="Q78" s="580"/>
      <c r="R78" s="589"/>
      <c r="S78" s="607">
        <f t="shared" si="2"/>
        <v>0</v>
      </c>
    </row>
    <row r="79" spans="1:19" x14ac:dyDescent="0.2">
      <c r="A79" s="507" t="s">
        <v>197</v>
      </c>
      <c r="B79" s="529" t="s">
        <v>24</v>
      </c>
      <c r="C79" s="549">
        <v>-16210</v>
      </c>
      <c r="D79" s="558">
        <v>16210</v>
      </c>
      <c r="E79" s="549"/>
      <c r="F79" s="561"/>
      <c r="G79" s="549"/>
      <c r="H79" s="561"/>
      <c r="I79" s="552"/>
      <c r="J79" s="558"/>
      <c r="K79" s="580"/>
      <c r="L79" s="589"/>
      <c r="M79" s="549"/>
      <c r="N79" s="558"/>
      <c r="O79" s="580"/>
      <c r="P79" s="589"/>
      <c r="Q79" s="580"/>
      <c r="R79" s="589"/>
      <c r="S79" s="607">
        <f t="shared" si="2"/>
        <v>0</v>
      </c>
    </row>
    <row r="80" spans="1:19" x14ac:dyDescent="0.2">
      <c r="A80" s="508"/>
      <c r="B80" s="530"/>
      <c r="C80" s="544"/>
      <c r="D80" s="78"/>
      <c r="E80" s="79"/>
      <c r="F80" s="281"/>
      <c r="G80" s="79"/>
      <c r="H80" s="281"/>
      <c r="I80" s="461"/>
      <c r="J80" s="78"/>
      <c r="K80" s="579"/>
      <c r="L80" s="588"/>
      <c r="M80" s="79"/>
      <c r="N80" s="78"/>
      <c r="O80" s="579"/>
      <c r="P80" s="588"/>
      <c r="Q80" s="579"/>
      <c r="R80" s="588"/>
      <c r="S80" s="94">
        <f t="shared" si="2"/>
        <v>0</v>
      </c>
    </row>
    <row r="81" spans="1:19" hidden="1" x14ac:dyDescent="0.2">
      <c r="A81" s="508"/>
      <c r="B81" s="526"/>
      <c r="C81" s="550"/>
      <c r="D81" s="559"/>
      <c r="E81" s="567"/>
      <c r="F81" s="557"/>
      <c r="G81" s="567"/>
      <c r="H81" s="557"/>
      <c r="I81" s="565"/>
      <c r="J81" s="559"/>
      <c r="K81" s="567"/>
      <c r="L81" s="559"/>
      <c r="M81" s="567"/>
      <c r="N81" s="559"/>
      <c r="O81" s="567"/>
      <c r="P81" s="559"/>
      <c r="Q81" s="567"/>
      <c r="R81" s="559"/>
      <c r="S81" s="94">
        <f t="shared" si="2"/>
        <v>0</v>
      </c>
    </row>
    <row r="82" spans="1:19" hidden="1" x14ac:dyDescent="0.2">
      <c r="A82" s="508"/>
      <c r="B82" s="526"/>
      <c r="C82" s="550"/>
      <c r="D82" s="78"/>
      <c r="E82" s="79"/>
      <c r="F82" s="281"/>
      <c r="G82" s="79"/>
      <c r="H82" s="557"/>
      <c r="I82" s="565"/>
      <c r="J82" s="559"/>
      <c r="K82" s="567"/>
      <c r="L82" s="559"/>
      <c r="M82" s="567"/>
      <c r="N82" s="559"/>
      <c r="O82" s="567"/>
      <c r="P82" s="559"/>
      <c r="Q82" s="567"/>
      <c r="R82" s="559"/>
      <c r="S82" s="94">
        <f t="shared" si="2"/>
        <v>0</v>
      </c>
    </row>
    <row r="83" spans="1:19" ht="12" hidden="1" customHeight="1" x14ac:dyDescent="0.2">
      <c r="A83" s="508"/>
      <c r="B83" s="526"/>
      <c r="C83" s="550"/>
      <c r="D83" s="78"/>
      <c r="E83" s="79"/>
      <c r="F83" s="281"/>
      <c r="G83" s="79"/>
      <c r="H83" s="557"/>
      <c r="I83" s="565"/>
      <c r="J83" s="559"/>
      <c r="K83" s="567"/>
      <c r="L83" s="559"/>
      <c r="M83" s="567"/>
      <c r="N83" s="559"/>
      <c r="O83" s="567"/>
      <c r="P83" s="559"/>
      <c r="Q83" s="567"/>
      <c r="R83" s="559"/>
      <c r="S83" s="94">
        <f t="shared" si="2"/>
        <v>0</v>
      </c>
    </row>
    <row r="84" spans="1:19" ht="12" hidden="1" customHeight="1" x14ac:dyDescent="0.2">
      <c r="A84" s="508"/>
      <c r="B84" s="526"/>
      <c r="C84" s="550"/>
      <c r="D84" s="78"/>
      <c r="E84" s="79"/>
      <c r="F84" s="281"/>
      <c r="G84" s="79"/>
      <c r="H84" s="557"/>
      <c r="I84" s="565"/>
      <c r="J84" s="559"/>
      <c r="K84" s="567"/>
      <c r="L84" s="559"/>
      <c r="M84" s="567"/>
      <c r="N84" s="559"/>
      <c r="O84" s="567"/>
      <c r="P84" s="559"/>
      <c r="Q84" s="567"/>
      <c r="R84" s="559"/>
      <c r="S84" s="94">
        <f t="shared" si="2"/>
        <v>0</v>
      </c>
    </row>
    <row r="85" spans="1:19" ht="12" hidden="1" customHeight="1" x14ac:dyDescent="0.2">
      <c r="A85" s="508"/>
      <c r="B85" s="526"/>
      <c r="C85" s="550"/>
      <c r="D85" s="78"/>
      <c r="E85" s="79"/>
      <c r="F85" s="281"/>
      <c r="G85" s="79"/>
      <c r="H85" s="557"/>
      <c r="I85" s="565"/>
      <c r="J85" s="559"/>
      <c r="K85" s="567"/>
      <c r="L85" s="559"/>
      <c r="M85" s="567"/>
      <c r="N85" s="559"/>
      <c r="O85" s="567"/>
      <c r="P85" s="559"/>
      <c r="Q85" s="567"/>
      <c r="R85" s="559"/>
      <c r="S85" s="94">
        <f t="shared" si="2"/>
        <v>0</v>
      </c>
    </row>
    <row r="86" spans="1:19" x14ac:dyDescent="0.2">
      <c r="A86" s="505" t="s">
        <v>40</v>
      </c>
      <c r="B86" s="531"/>
      <c r="C86" s="550"/>
      <c r="D86" s="559"/>
      <c r="E86" s="567"/>
      <c r="F86" s="557"/>
      <c r="G86" s="567"/>
      <c r="H86" s="557"/>
      <c r="I86" s="565"/>
      <c r="J86" s="559"/>
      <c r="K86" s="581"/>
      <c r="L86" s="590"/>
      <c r="M86" s="567"/>
      <c r="N86" s="559"/>
      <c r="O86" s="581"/>
      <c r="P86" s="590"/>
      <c r="Q86" s="581"/>
      <c r="R86" s="590"/>
      <c r="S86" s="94">
        <f t="shared" si="2"/>
        <v>0</v>
      </c>
    </row>
    <row r="87" spans="1:19" s="31" customFormat="1" x14ac:dyDescent="0.2">
      <c r="A87" s="509" t="s">
        <v>214</v>
      </c>
      <c r="B87" s="532" t="s">
        <v>28</v>
      </c>
      <c r="C87" s="549"/>
      <c r="D87" s="558"/>
      <c r="E87" s="549"/>
      <c r="F87" s="561"/>
      <c r="G87" s="549"/>
      <c r="H87" s="561"/>
      <c r="I87" s="552"/>
      <c r="J87" s="562"/>
      <c r="K87" s="580"/>
      <c r="L87" s="561"/>
      <c r="M87" s="552"/>
      <c r="N87" s="561"/>
      <c r="O87" s="552">
        <v>13567</v>
      </c>
      <c r="P87" s="561">
        <v>-13567</v>
      </c>
      <c r="Q87" s="549"/>
      <c r="R87" s="558"/>
      <c r="S87" s="607">
        <f t="shared" si="2"/>
        <v>0</v>
      </c>
    </row>
    <row r="88" spans="1:19" s="31" customFormat="1" x14ac:dyDescent="0.2">
      <c r="A88" s="509" t="s">
        <v>183</v>
      </c>
      <c r="B88" s="532" t="s">
        <v>28</v>
      </c>
      <c r="C88" s="549"/>
      <c r="D88" s="558"/>
      <c r="E88" s="549"/>
      <c r="F88" s="561"/>
      <c r="G88" s="549"/>
      <c r="H88" s="561"/>
      <c r="I88" s="552"/>
      <c r="J88" s="562"/>
      <c r="K88" s="580"/>
      <c r="L88" s="561"/>
      <c r="M88" s="552"/>
      <c r="N88" s="561"/>
      <c r="O88" s="552"/>
      <c r="P88" s="561"/>
      <c r="Q88" s="549"/>
      <c r="R88" s="558"/>
      <c r="S88" s="607">
        <f t="shared" si="2"/>
        <v>0</v>
      </c>
    </row>
    <row r="89" spans="1:19" s="31" customFormat="1" x14ac:dyDescent="0.2">
      <c r="A89" s="509" t="s">
        <v>42</v>
      </c>
      <c r="B89" s="532" t="s">
        <v>31</v>
      </c>
      <c r="C89" s="549"/>
      <c r="D89" s="558"/>
      <c r="E89" s="549"/>
      <c r="F89" s="561"/>
      <c r="G89" s="549"/>
      <c r="H89" s="561"/>
      <c r="I89" s="552"/>
      <c r="J89" s="562"/>
      <c r="K89" s="580"/>
      <c r="L89" s="561"/>
      <c r="M89" s="552"/>
      <c r="N89" s="561"/>
      <c r="O89" s="552"/>
      <c r="P89" s="561"/>
      <c r="Q89" s="549"/>
      <c r="R89" s="558"/>
      <c r="S89" s="607">
        <f t="shared" si="2"/>
        <v>0</v>
      </c>
    </row>
    <row r="90" spans="1:19" s="32" customFormat="1" x14ac:dyDescent="0.2">
      <c r="A90" s="509" t="s">
        <v>43</v>
      </c>
      <c r="B90" s="532" t="s">
        <v>31</v>
      </c>
      <c r="C90" s="549"/>
      <c r="D90" s="558"/>
      <c r="E90" s="549"/>
      <c r="F90" s="561"/>
      <c r="G90" s="549"/>
      <c r="H90" s="561"/>
      <c r="I90" s="552"/>
      <c r="J90" s="562"/>
      <c r="K90" s="580"/>
      <c r="L90" s="589"/>
      <c r="M90" s="549"/>
      <c r="N90" s="558"/>
      <c r="O90" s="549"/>
      <c r="P90" s="558"/>
      <c r="Q90" s="549"/>
      <c r="R90" s="558"/>
      <c r="S90" s="607">
        <f t="shared" si="2"/>
        <v>0</v>
      </c>
    </row>
    <row r="91" spans="1:19" x14ac:dyDescent="0.2">
      <c r="A91" s="510" t="s">
        <v>44</v>
      </c>
      <c r="B91" s="532" t="s">
        <v>32</v>
      </c>
      <c r="C91" s="549"/>
      <c r="D91" s="558">
        <f>100+300+900+300+333.34+11.11+300</f>
        <v>2244.4499999999998</v>
      </c>
      <c r="E91" s="568">
        <f>200+96+600+100+350+300-96+100+100</f>
        <v>1750</v>
      </c>
      <c r="F91" s="561">
        <f>300+300+100</f>
        <v>700</v>
      </c>
      <c r="G91" s="549"/>
      <c r="H91" s="561">
        <f>300+300+204+300+300+150+350+602.3-602.3+577.3</f>
        <v>2481.3000000000002</v>
      </c>
      <c r="I91" s="552"/>
      <c r="J91" s="575">
        <f>150+96+50+197.7+66.66-11.11</f>
        <v>549.25</v>
      </c>
      <c r="K91" s="580"/>
      <c r="L91" s="589"/>
      <c r="M91" s="549"/>
      <c r="N91" s="558"/>
      <c r="O91" s="549">
        <v>145145</v>
      </c>
      <c r="P91" s="558">
        <f>-200-300-100-300-204-300-96-300-600-300-300-150-100-350-900-150-300-300-100-100-100-350-50-145145-800-300+25-66.66-333.34-300</f>
        <v>-152870</v>
      </c>
      <c r="Q91" s="549"/>
      <c r="R91" s="589"/>
      <c r="S91" s="607">
        <f t="shared" si="2"/>
        <v>0</v>
      </c>
    </row>
    <row r="92" spans="1:19" x14ac:dyDescent="0.2">
      <c r="A92" s="510" t="s">
        <v>45</v>
      </c>
      <c r="B92" s="532" t="s">
        <v>32</v>
      </c>
      <c r="C92" s="549"/>
      <c r="D92" s="558">
        <f>36+106+317+106+118+4+106</f>
        <v>793</v>
      </c>
      <c r="E92" s="568">
        <f>71+34+212+159+106-34+36+36</f>
        <v>620</v>
      </c>
      <c r="F92" s="561">
        <f>106+106+36</f>
        <v>248</v>
      </c>
      <c r="G92" s="549"/>
      <c r="H92" s="561">
        <f>106+106+72+106+159+124+213-213+204</f>
        <v>877</v>
      </c>
      <c r="I92" s="552"/>
      <c r="J92" s="575">
        <f>53+34+18+70+24-4</f>
        <v>195</v>
      </c>
      <c r="K92" s="580"/>
      <c r="L92" s="589"/>
      <c r="M92" s="549"/>
      <c r="N92" s="558"/>
      <c r="O92" s="549"/>
      <c r="P92" s="558">
        <f>-71-106-36-106-72-106-34-106-212-106-159-159-317-53-106-106-36-36-36-124-18-283-106+9-24-118-106</f>
        <v>-2733</v>
      </c>
      <c r="Q92" s="549"/>
      <c r="R92" s="558"/>
      <c r="S92" s="607">
        <f t="shared" si="2"/>
        <v>0</v>
      </c>
    </row>
    <row r="93" spans="1:19" x14ac:dyDescent="0.2">
      <c r="A93" s="510" t="s">
        <v>46</v>
      </c>
      <c r="B93" s="532" t="s">
        <v>31</v>
      </c>
      <c r="C93" s="549">
        <f>3000+3000+5500</f>
        <v>11500</v>
      </c>
      <c r="D93" s="558">
        <f>1500+2500</f>
        <v>4000</v>
      </c>
      <c r="E93" s="549">
        <f>3000+1500+3500</f>
        <v>8000</v>
      </c>
      <c r="F93" s="561">
        <f>2000+3000+3000</f>
        <v>8000</v>
      </c>
      <c r="G93" s="549">
        <f>3000+3500</f>
        <v>6500</v>
      </c>
      <c r="H93" s="561">
        <f>6700+3000+3000</f>
        <v>12700</v>
      </c>
      <c r="I93" s="552"/>
      <c r="J93" s="558">
        <f>2000+2500</f>
        <v>4500</v>
      </c>
      <c r="K93" s="580"/>
      <c r="L93" s="589"/>
      <c r="M93" s="549"/>
      <c r="N93" s="558"/>
      <c r="O93" s="549">
        <f>3200+4500</f>
        <v>7700</v>
      </c>
      <c r="P93" s="558">
        <f>-12900-2000-20100-4500+1600-1500-23500</f>
        <v>-62900</v>
      </c>
      <c r="Q93" s="549"/>
      <c r="R93" s="558"/>
      <c r="S93" s="607">
        <f t="shared" si="2"/>
        <v>0</v>
      </c>
    </row>
    <row r="94" spans="1:19" x14ac:dyDescent="0.2">
      <c r="A94" s="510" t="s">
        <v>47</v>
      </c>
      <c r="B94" s="532" t="s">
        <v>31</v>
      </c>
      <c r="C94" s="549">
        <f>1056+1056+1936</f>
        <v>4048</v>
      </c>
      <c r="D94" s="558">
        <f>528+880</f>
        <v>1408</v>
      </c>
      <c r="E94" s="549">
        <f>1056+528+1232</f>
        <v>2816</v>
      </c>
      <c r="F94" s="561">
        <f>704+1056+1056</f>
        <v>2816</v>
      </c>
      <c r="G94" s="549">
        <f>1056+1232</f>
        <v>2288</v>
      </c>
      <c r="H94" s="561">
        <f>2359+1056+1056</f>
        <v>4471</v>
      </c>
      <c r="I94" s="552"/>
      <c r="J94" s="558">
        <f>704+880</f>
        <v>1584</v>
      </c>
      <c r="K94" s="580"/>
      <c r="L94" s="589"/>
      <c r="M94" s="549"/>
      <c r="N94" s="558"/>
      <c r="O94" s="549">
        <f>1042+1066</f>
        <v>2108</v>
      </c>
      <c r="P94" s="558">
        <f>-4457-704-7076-1066+564-528-8272</f>
        <v>-21539</v>
      </c>
      <c r="Q94" s="549"/>
      <c r="R94" s="558"/>
      <c r="S94" s="607">
        <f t="shared" si="2"/>
        <v>0</v>
      </c>
    </row>
    <row r="95" spans="1:19" x14ac:dyDescent="0.2">
      <c r="A95" s="510" t="s">
        <v>270</v>
      </c>
      <c r="B95" s="532" t="s">
        <v>31</v>
      </c>
      <c r="C95" s="549">
        <v>5000</v>
      </c>
      <c r="D95" s="558"/>
      <c r="E95" s="549">
        <v>6250</v>
      </c>
      <c r="F95" s="561">
        <v>5000</v>
      </c>
      <c r="G95" s="549">
        <v>2500</v>
      </c>
      <c r="H95" s="561">
        <v>5000</v>
      </c>
      <c r="I95" s="552"/>
      <c r="J95" s="558">
        <v>3000</v>
      </c>
      <c r="K95" s="580"/>
      <c r="L95" s="589"/>
      <c r="M95" s="549"/>
      <c r="N95" s="558"/>
      <c r="O95" s="549"/>
      <c r="P95" s="562">
        <v>-26750</v>
      </c>
      <c r="Q95" s="549"/>
      <c r="R95" s="558"/>
      <c r="S95" s="607">
        <f t="shared" si="2"/>
        <v>0</v>
      </c>
    </row>
    <row r="96" spans="1:19" x14ac:dyDescent="0.2">
      <c r="A96" s="510" t="s">
        <v>271</v>
      </c>
      <c r="B96" s="532" t="s">
        <v>31</v>
      </c>
      <c r="C96" s="549">
        <v>1760</v>
      </c>
      <c r="D96" s="558"/>
      <c r="E96" s="549">
        <v>2200</v>
      </c>
      <c r="F96" s="561">
        <v>1760</v>
      </c>
      <c r="G96" s="549">
        <v>880</v>
      </c>
      <c r="H96" s="561">
        <v>1760</v>
      </c>
      <c r="I96" s="552"/>
      <c r="J96" s="558">
        <v>1056</v>
      </c>
      <c r="K96" s="580"/>
      <c r="L96" s="589"/>
      <c r="M96" s="549"/>
      <c r="N96" s="558"/>
      <c r="O96" s="549"/>
      <c r="P96" s="562">
        <v>-9416</v>
      </c>
      <c r="Q96" s="549"/>
      <c r="R96" s="558"/>
      <c r="S96" s="607">
        <f t="shared" si="2"/>
        <v>0</v>
      </c>
    </row>
    <row r="97" spans="1:19" x14ac:dyDescent="0.2">
      <c r="A97" s="510" t="s">
        <v>48</v>
      </c>
      <c r="B97" s="532" t="s">
        <v>31</v>
      </c>
      <c r="C97" s="549"/>
      <c r="D97" s="558"/>
      <c r="E97" s="549"/>
      <c r="F97" s="561"/>
      <c r="G97" s="549"/>
      <c r="H97" s="561"/>
      <c r="I97" s="552"/>
      <c r="J97" s="558"/>
      <c r="K97" s="580"/>
      <c r="L97" s="589"/>
      <c r="M97" s="549"/>
      <c r="N97" s="558"/>
      <c r="O97" s="549"/>
      <c r="P97" s="558"/>
      <c r="Q97" s="553"/>
      <c r="R97" s="558"/>
      <c r="S97" s="607">
        <f t="shared" si="2"/>
        <v>0</v>
      </c>
    </row>
    <row r="98" spans="1:19" x14ac:dyDescent="0.2">
      <c r="A98" s="510" t="s">
        <v>48</v>
      </c>
      <c r="B98" s="532" t="s">
        <v>32</v>
      </c>
      <c r="C98" s="549"/>
      <c r="D98" s="558"/>
      <c r="E98" s="549"/>
      <c r="F98" s="561"/>
      <c r="G98" s="549"/>
      <c r="H98" s="561"/>
      <c r="I98" s="552"/>
      <c r="J98" s="558"/>
      <c r="K98" s="580"/>
      <c r="L98" s="589"/>
      <c r="M98" s="549"/>
      <c r="N98" s="558"/>
      <c r="O98" s="549"/>
      <c r="P98" s="558"/>
      <c r="Q98" s="553"/>
      <c r="R98" s="558"/>
      <c r="S98" s="607">
        <f t="shared" si="2"/>
        <v>0</v>
      </c>
    </row>
    <row r="99" spans="1:19" x14ac:dyDescent="0.2">
      <c r="A99" s="510" t="s">
        <v>49</v>
      </c>
      <c r="B99" s="532" t="s">
        <v>35</v>
      </c>
      <c r="C99" s="549"/>
      <c r="D99" s="558"/>
      <c r="E99" s="549"/>
      <c r="F99" s="561"/>
      <c r="G99" s="549"/>
      <c r="H99" s="561"/>
      <c r="I99" s="552"/>
      <c r="J99" s="561"/>
      <c r="K99" s="580"/>
      <c r="L99" s="589"/>
      <c r="M99" s="549"/>
      <c r="N99" s="558"/>
      <c r="O99" s="553"/>
      <c r="P99" s="562"/>
      <c r="Q99" s="549"/>
      <c r="R99" s="558"/>
      <c r="S99" s="607">
        <f t="shared" si="2"/>
        <v>0</v>
      </c>
    </row>
    <row r="100" spans="1:19" x14ac:dyDescent="0.2">
      <c r="A100" s="510" t="s">
        <v>50</v>
      </c>
      <c r="B100" s="532" t="s">
        <v>36</v>
      </c>
      <c r="C100" s="549"/>
      <c r="D100" s="558"/>
      <c r="E100" s="549"/>
      <c r="F100" s="561"/>
      <c r="G100" s="549"/>
      <c r="H100" s="561"/>
      <c r="I100" s="552"/>
      <c r="J100" s="561"/>
      <c r="K100" s="580"/>
      <c r="L100" s="589"/>
      <c r="M100" s="549"/>
      <c r="N100" s="558"/>
      <c r="O100" s="553"/>
      <c r="P100" s="562"/>
      <c r="Q100" s="549"/>
      <c r="R100" s="558"/>
      <c r="S100" s="607">
        <f t="shared" si="2"/>
        <v>0</v>
      </c>
    </row>
    <row r="101" spans="1:19" x14ac:dyDescent="0.2">
      <c r="A101" s="511" t="s">
        <v>172</v>
      </c>
      <c r="B101" s="533" t="s">
        <v>33</v>
      </c>
      <c r="C101" s="549">
        <v>120</v>
      </c>
      <c r="D101" s="558"/>
      <c r="E101" s="549"/>
      <c r="F101" s="561"/>
      <c r="G101" s="549"/>
      <c r="H101" s="561"/>
      <c r="I101" s="552"/>
      <c r="J101" s="558"/>
      <c r="K101" s="580"/>
      <c r="L101" s="589"/>
      <c r="M101" s="549"/>
      <c r="N101" s="558"/>
      <c r="O101" s="549">
        <v>-120</v>
      </c>
      <c r="P101" s="562"/>
      <c r="Q101" s="549"/>
      <c r="R101" s="558"/>
      <c r="S101" s="607">
        <f t="shared" si="2"/>
        <v>0</v>
      </c>
    </row>
    <row r="102" spans="1:19" x14ac:dyDescent="0.2">
      <c r="A102" s="511" t="s">
        <v>173</v>
      </c>
      <c r="B102" s="533" t="s">
        <v>34</v>
      </c>
      <c r="C102" s="549">
        <v>43</v>
      </c>
      <c r="D102" s="558"/>
      <c r="E102" s="549"/>
      <c r="F102" s="561"/>
      <c r="G102" s="549"/>
      <c r="H102" s="561"/>
      <c r="I102" s="552"/>
      <c r="J102" s="558"/>
      <c r="K102" s="580"/>
      <c r="L102" s="589"/>
      <c r="M102" s="549"/>
      <c r="N102" s="558"/>
      <c r="O102" s="549">
        <v>-43</v>
      </c>
      <c r="P102" s="562"/>
      <c r="Q102" s="549"/>
      <c r="R102" s="558"/>
      <c r="S102" s="607">
        <f t="shared" si="2"/>
        <v>0</v>
      </c>
    </row>
    <row r="103" spans="1:19" x14ac:dyDescent="0.2">
      <c r="A103" s="511" t="s">
        <v>175</v>
      </c>
      <c r="B103" s="533" t="s">
        <v>33</v>
      </c>
      <c r="C103" s="549"/>
      <c r="D103" s="558"/>
      <c r="E103" s="549"/>
      <c r="F103" s="561"/>
      <c r="G103" s="549"/>
      <c r="H103" s="561">
        <f>4800+400</f>
        <v>5200</v>
      </c>
      <c r="I103" s="552"/>
      <c r="J103" s="558"/>
      <c r="K103" s="580"/>
      <c r="L103" s="589"/>
      <c r="M103" s="549"/>
      <c r="N103" s="558"/>
      <c r="O103" s="549">
        <f>-4800-400</f>
        <v>-5200</v>
      </c>
      <c r="P103" s="562"/>
      <c r="Q103" s="549"/>
      <c r="R103" s="558"/>
      <c r="S103" s="607">
        <f t="shared" si="2"/>
        <v>0</v>
      </c>
    </row>
    <row r="104" spans="1:19" x14ac:dyDescent="0.2">
      <c r="A104" s="511" t="s">
        <v>176</v>
      </c>
      <c r="B104" s="533" t="s">
        <v>34</v>
      </c>
      <c r="C104" s="549"/>
      <c r="D104" s="558"/>
      <c r="E104" s="549"/>
      <c r="F104" s="561"/>
      <c r="G104" s="549"/>
      <c r="H104" s="561">
        <f>1691+141</f>
        <v>1832</v>
      </c>
      <c r="I104" s="552"/>
      <c r="J104" s="558"/>
      <c r="K104" s="580"/>
      <c r="L104" s="589"/>
      <c r="M104" s="549"/>
      <c r="N104" s="558"/>
      <c r="O104" s="549">
        <f>-1691-141</f>
        <v>-1832</v>
      </c>
      <c r="P104" s="562"/>
      <c r="Q104" s="549"/>
      <c r="R104" s="558"/>
      <c r="S104" s="607">
        <f t="shared" si="2"/>
        <v>0</v>
      </c>
    </row>
    <row r="105" spans="1:19" x14ac:dyDescent="0.2">
      <c r="A105" s="512" t="s">
        <v>217</v>
      </c>
      <c r="B105" s="533" t="s">
        <v>32</v>
      </c>
      <c r="C105" s="549"/>
      <c r="D105" s="558"/>
      <c r="E105" s="549"/>
      <c r="F105" s="561"/>
      <c r="G105" s="549"/>
      <c r="H105" s="561"/>
      <c r="I105" s="552"/>
      <c r="J105" s="558"/>
      <c r="K105" s="580"/>
      <c r="L105" s="589"/>
      <c r="M105" s="549"/>
      <c r="N105" s="558"/>
      <c r="O105" s="553"/>
      <c r="P105" s="558">
        <v>-40000</v>
      </c>
      <c r="Q105" s="549"/>
      <c r="R105" s="558"/>
      <c r="S105" s="607">
        <f t="shared" si="2"/>
        <v>-40000</v>
      </c>
    </row>
    <row r="106" spans="1:19" s="31" customFormat="1" x14ac:dyDescent="0.2">
      <c r="A106" s="512" t="s">
        <v>218</v>
      </c>
      <c r="B106" s="533" t="s">
        <v>33</v>
      </c>
      <c r="C106" s="549"/>
      <c r="D106" s="558"/>
      <c r="E106" s="549"/>
      <c r="F106" s="561"/>
      <c r="G106" s="549"/>
      <c r="H106" s="561"/>
      <c r="I106" s="552"/>
      <c r="J106" s="558"/>
      <c r="K106" s="580"/>
      <c r="L106" s="558"/>
      <c r="M106" s="549"/>
      <c r="N106" s="558"/>
      <c r="O106" s="553"/>
      <c r="P106" s="558">
        <v>29585</v>
      </c>
      <c r="Q106" s="549"/>
      <c r="R106" s="558"/>
      <c r="S106" s="607">
        <f t="shared" si="2"/>
        <v>29585</v>
      </c>
    </row>
    <row r="107" spans="1:19" x14ac:dyDescent="0.2">
      <c r="A107" s="512" t="s">
        <v>219</v>
      </c>
      <c r="B107" s="533" t="s">
        <v>34</v>
      </c>
      <c r="C107" s="549"/>
      <c r="D107" s="558"/>
      <c r="E107" s="549"/>
      <c r="F107" s="561"/>
      <c r="G107" s="549"/>
      <c r="H107" s="561"/>
      <c r="I107" s="552"/>
      <c r="J107" s="558"/>
      <c r="K107" s="580"/>
      <c r="L107" s="589"/>
      <c r="M107" s="549"/>
      <c r="N107" s="558"/>
      <c r="O107" s="553"/>
      <c r="P107" s="558">
        <v>10415</v>
      </c>
      <c r="Q107" s="549"/>
      <c r="R107" s="558"/>
      <c r="S107" s="607">
        <f t="shared" si="2"/>
        <v>10415</v>
      </c>
    </row>
    <row r="108" spans="1:19" x14ac:dyDescent="0.2">
      <c r="A108" s="512" t="s">
        <v>195</v>
      </c>
      <c r="B108" s="533" t="s">
        <v>194</v>
      </c>
      <c r="C108" s="549"/>
      <c r="D108" s="558"/>
      <c r="E108" s="549"/>
      <c r="F108" s="561"/>
      <c r="G108" s="549"/>
      <c r="H108" s="561"/>
      <c r="I108" s="552"/>
      <c r="J108" s="558"/>
      <c r="K108" s="580"/>
      <c r="L108" s="589"/>
      <c r="M108" s="549"/>
      <c r="N108" s="558"/>
      <c r="O108" s="549"/>
      <c r="P108" s="558"/>
      <c r="Q108" s="549"/>
      <c r="R108" s="558"/>
      <c r="S108" s="607">
        <f t="shared" si="2"/>
        <v>0</v>
      </c>
    </row>
    <row r="109" spans="1:19" x14ac:dyDescent="0.2">
      <c r="A109" s="511" t="s">
        <v>249</v>
      </c>
      <c r="B109" s="533" t="s">
        <v>33</v>
      </c>
      <c r="C109" s="549"/>
      <c r="D109" s="558"/>
      <c r="E109" s="549"/>
      <c r="F109" s="561"/>
      <c r="G109" s="549"/>
      <c r="H109" s="561">
        <f>15+5</f>
        <v>20</v>
      </c>
      <c r="I109" s="552"/>
      <c r="J109" s="558"/>
      <c r="K109" s="580"/>
      <c r="L109" s="589"/>
      <c r="M109" s="549"/>
      <c r="N109" s="558"/>
      <c r="O109" s="549">
        <f>-15-5</f>
        <v>-20</v>
      </c>
      <c r="P109" s="558"/>
      <c r="Q109" s="549"/>
      <c r="R109" s="558"/>
      <c r="S109" s="607">
        <f t="shared" si="2"/>
        <v>0</v>
      </c>
    </row>
    <row r="110" spans="1:19" x14ac:dyDescent="0.2">
      <c r="A110" s="511" t="s">
        <v>250</v>
      </c>
      <c r="B110" s="533" t="s">
        <v>34</v>
      </c>
      <c r="C110" s="549"/>
      <c r="D110" s="558"/>
      <c r="E110" s="549"/>
      <c r="F110" s="561"/>
      <c r="G110" s="549"/>
      <c r="H110" s="561">
        <f>6+2</f>
        <v>8</v>
      </c>
      <c r="I110" s="552"/>
      <c r="J110" s="558"/>
      <c r="K110" s="580"/>
      <c r="L110" s="589"/>
      <c r="M110" s="549"/>
      <c r="N110" s="558"/>
      <c r="O110" s="549">
        <f>-6-2</f>
        <v>-8</v>
      </c>
      <c r="P110" s="558"/>
      <c r="Q110" s="549"/>
      <c r="R110" s="558"/>
      <c r="S110" s="607">
        <f t="shared" si="2"/>
        <v>0</v>
      </c>
    </row>
    <row r="111" spans="1:19" x14ac:dyDescent="0.2">
      <c r="A111" s="513" t="s">
        <v>51</v>
      </c>
      <c r="B111" s="532" t="s">
        <v>32</v>
      </c>
      <c r="C111" s="549"/>
      <c r="D111" s="558"/>
      <c r="E111" s="549"/>
      <c r="F111" s="561"/>
      <c r="G111" s="549"/>
      <c r="H111" s="561"/>
      <c r="I111" s="552"/>
      <c r="J111" s="558"/>
      <c r="K111" s="580"/>
      <c r="L111" s="589"/>
      <c r="M111" s="549"/>
      <c r="N111" s="558"/>
      <c r="O111" s="549"/>
      <c r="P111" s="558"/>
      <c r="Q111" s="549"/>
      <c r="R111" s="558"/>
      <c r="S111" s="607">
        <f t="shared" si="2"/>
        <v>0</v>
      </c>
    </row>
    <row r="112" spans="1:19" x14ac:dyDescent="0.2">
      <c r="A112" s="514" t="s">
        <v>52</v>
      </c>
      <c r="B112" s="532" t="s">
        <v>31</v>
      </c>
      <c r="C112" s="549"/>
      <c r="D112" s="558"/>
      <c r="E112" s="549"/>
      <c r="F112" s="561"/>
      <c r="G112" s="549"/>
      <c r="H112" s="561"/>
      <c r="I112" s="552"/>
      <c r="J112" s="558"/>
      <c r="K112" s="580"/>
      <c r="L112" s="589"/>
      <c r="M112" s="549"/>
      <c r="N112" s="558"/>
      <c r="O112" s="549"/>
      <c r="P112" s="558"/>
      <c r="Q112" s="549"/>
      <c r="R112" s="558"/>
      <c r="S112" s="607">
        <f t="shared" si="2"/>
        <v>0</v>
      </c>
    </row>
    <row r="113" spans="1:19" x14ac:dyDescent="0.2">
      <c r="A113" s="514" t="s">
        <v>53</v>
      </c>
      <c r="B113" s="532" t="s">
        <v>31</v>
      </c>
      <c r="C113" s="549"/>
      <c r="D113" s="558"/>
      <c r="E113" s="549"/>
      <c r="F113" s="561"/>
      <c r="G113" s="549"/>
      <c r="H113" s="561"/>
      <c r="I113" s="552"/>
      <c r="J113" s="558"/>
      <c r="K113" s="580"/>
      <c r="L113" s="589"/>
      <c r="M113" s="549"/>
      <c r="N113" s="558"/>
      <c r="O113" s="549"/>
      <c r="P113" s="558"/>
      <c r="Q113" s="549"/>
      <c r="R113" s="558"/>
      <c r="S113" s="607">
        <f t="shared" si="2"/>
        <v>0</v>
      </c>
    </row>
    <row r="114" spans="1:19" x14ac:dyDescent="0.2">
      <c r="A114" s="515" t="s">
        <v>54</v>
      </c>
      <c r="B114" s="533" t="s">
        <v>33</v>
      </c>
      <c r="C114" s="549"/>
      <c r="D114" s="558"/>
      <c r="E114" s="549"/>
      <c r="F114" s="561"/>
      <c r="G114" s="549"/>
      <c r="H114" s="561"/>
      <c r="I114" s="552"/>
      <c r="J114" s="558"/>
      <c r="K114" s="580"/>
      <c r="L114" s="589"/>
      <c r="M114" s="549"/>
      <c r="N114" s="558"/>
      <c r="O114" s="549"/>
      <c r="P114" s="558"/>
      <c r="Q114" s="549"/>
      <c r="R114" s="558"/>
      <c r="S114" s="607">
        <f t="shared" si="2"/>
        <v>0</v>
      </c>
    </row>
    <row r="115" spans="1:19" x14ac:dyDescent="0.2">
      <c r="A115" s="515" t="s">
        <v>54</v>
      </c>
      <c r="B115" s="533" t="s">
        <v>34</v>
      </c>
      <c r="C115" s="549"/>
      <c r="D115" s="558"/>
      <c r="E115" s="549"/>
      <c r="F115" s="561"/>
      <c r="G115" s="549"/>
      <c r="H115" s="561"/>
      <c r="I115" s="552"/>
      <c r="J115" s="558"/>
      <c r="K115" s="580"/>
      <c r="L115" s="589"/>
      <c r="M115" s="549"/>
      <c r="N115" s="558"/>
      <c r="O115" s="549"/>
      <c r="P115" s="558"/>
      <c r="Q115" s="549"/>
      <c r="R115" s="558"/>
      <c r="S115" s="607">
        <f t="shared" si="2"/>
        <v>0</v>
      </c>
    </row>
    <row r="116" spans="1:19" x14ac:dyDescent="0.2">
      <c r="A116" s="514" t="s">
        <v>55</v>
      </c>
      <c r="B116" s="533" t="s">
        <v>32</v>
      </c>
      <c r="C116" s="551">
        <f>13509</f>
        <v>13509</v>
      </c>
      <c r="D116" s="560">
        <f>11484</f>
        <v>11484</v>
      </c>
      <c r="E116" s="551"/>
      <c r="F116" s="560">
        <f>26766-3958.38</f>
        <v>22807.62</v>
      </c>
      <c r="G116" s="551"/>
      <c r="H116" s="560">
        <f>13482</f>
        <v>13482</v>
      </c>
      <c r="I116" s="551"/>
      <c r="J116" s="560">
        <f>13482+13509</f>
        <v>26991</v>
      </c>
      <c r="K116" s="582"/>
      <c r="L116" s="591"/>
      <c r="M116" s="551">
        <f>3467</f>
        <v>3467</v>
      </c>
      <c r="N116" s="560"/>
      <c r="O116" s="582"/>
      <c r="P116" s="561"/>
      <c r="Q116" s="552">
        <f>-13509-11484-13482-13482-13509-3467-26766+3958.38</f>
        <v>-91740.62</v>
      </c>
      <c r="R116" s="561"/>
      <c r="S116" s="607">
        <f t="shared" si="2"/>
        <v>0</v>
      </c>
    </row>
    <row r="117" spans="1:19" x14ac:dyDescent="0.2">
      <c r="A117" s="516" t="s">
        <v>56</v>
      </c>
      <c r="B117" s="533" t="s">
        <v>33</v>
      </c>
      <c r="C117" s="552"/>
      <c r="D117" s="560"/>
      <c r="E117" s="551"/>
      <c r="F117" s="560"/>
      <c r="G117" s="551"/>
      <c r="H117" s="560"/>
      <c r="I117" s="551"/>
      <c r="J117" s="560"/>
      <c r="K117" s="582"/>
      <c r="L117" s="591"/>
      <c r="M117" s="551"/>
      <c r="N117" s="560"/>
      <c r="O117" s="582"/>
      <c r="P117" s="561"/>
      <c r="Q117" s="552"/>
      <c r="R117" s="562"/>
      <c r="S117" s="607">
        <f t="shared" si="2"/>
        <v>0</v>
      </c>
    </row>
    <row r="118" spans="1:19" x14ac:dyDescent="0.2">
      <c r="A118" s="516" t="s">
        <v>56</v>
      </c>
      <c r="B118" s="533" t="s">
        <v>34</v>
      </c>
      <c r="C118" s="552"/>
      <c r="D118" s="560"/>
      <c r="E118" s="551"/>
      <c r="F118" s="560"/>
      <c r="G118" s="551"/>
      <c r="H118" s="560"/>
      <c r="I118" s="551"/>
      <c r="J118" s="560"/>
      <c r="K118" s="582"/>
      <c r="L118" s="591"/>
      <c r="M118" s="551"/>
      <c r="N118" s="560"/>
      <c r="O118" s="582"/>
      <c r="P118" s="561"/>
      <c r="Q118" s="552"/>
      <c r="R118" s="562"/>
      <c r="S118" s="607">
        <f t="shared" si="2"/>
        <v>0</v>
      </c>
    </row>
    <row r="119" spans="1:19" s="31" customFormat="1" x14ac:dyDescent="0.2">
      <c r="A119" s="509" t="s">
        <v>57</v>
      </c>
      <c r="B119" s="532" t="s">
        <v>31</v>
      </c>
      <c r="C119" s="549">
        <v>8177.51</v>
      </c>
      <c r="D119" s="558"/>
      <c r="E119" s="549"/>
      <c r="F119" s="561"/>
      <c r="G119" s="549"/>
      <c r="H119" s="561"/>
      <c r="I119" s="552"/>
      <c r="J119" s="562"/>
      <c r="K119" s="580"/>
      <c r="L119" s="561"/>
      <c r="M119" s="552">
        <v>-8177.51</v>
      </c>
      <c r="N119" s="561"/>
      <c r="O119" s="552"/>
      <c r="P119" s="561"/>
      <c r="Q119" s="549"/>
      <c r="R119" s="558"/>
      <c r="S119" s="607">
        <f t="shared" si="2"/>
        <v>0</v>
      </c>
    </row>
    <row r="120" spans="1:19" s="32" customFormat="1" x14ac:dyDescent="0.2">
      <c r="A120" s="509" t="s">
        <v>58</v>
      </c>
      <c r="B120" s="532" t="s">
        <v>31</v>
      </c>
      <c r="C120" s="549">
        <v>2878.49</v>
      </c>
      <c r="D120" s="558"/>
      <c r="E120" s="549"/>
      <c r="F120" s="561"/>
      <c r="G120" s="549"/>
      <c r="H120" s="561"/>
      <c r="I120" s="552"/>
      <c r="J120" s="562"/>
      <c r="K120" s="580"/>
      <c r="L120" s="589"/>
      <c r="M120" s="549">
        <v>-2878.49</v>
      </c>
      <c r="N120" s="558"/>
      <c r="O120" s="549"/>
      <c r="P120" s="558"/>
      <c r="Q120" s="549"/>
      <c r="R120" s="558"/>
      <c r="S120" s="607">
        <f t="shared" si="2"/>
        <v>0</v>
      </c>
    </row>
    <row r="121" spans="1:19" x14ac:dyDescent="0.2">
      <c r="A121" s="509" t="s">
        <v>57</v>
      </c>
      <c r="B121" s="532" t="s">
        <v>31</v>
      </c>
      <c r="C121" s="549"/>
      <c r="D121" s="558"/>
      <c r="E121" s="549">
        <v>-2144.23</v>
      </c>
      <c r="F121" s="561">
        <v>2144.23</v>
      </c>
      <c r="G121" s="570"/>
      <c r="H121" s="560"/>
      <c r="I121" s="551"/>
      <c r="J121" s="576"/>
      <c r="K121" s="583"/>
      <c r="L121" s="592"/>
      <c r="M121" s="570"/>
      <c r="N121" s="576"/>
      <c r="O121" s="570"/>
      <c r="P121" s="576"/>
      <c r="Q121" s="549"/>
      <c r="R121" s="558"/>
      <c r="S121" s="607">
        <f t="shared" si="2"/>
        <v>0</v>
      </c>
    </row>
    <row r="122" spans="1:19" x14ac:dyDescent="0.2">
      <c r="A122" s="509" t="s">
        <v>58</v>
      </c>
      <c r="B122" s="532" t="s">
        <v>31</v>
      </c>
      <c r="C122" s="549"/>
      <c r="D122" s="558"/>
      <c r="E122" s="549">
        <v>-754.77</v>
      </c>
      <c r="F122" s="561">
        <v>754.77</v>
      </c>
      <c r="G122" s="549"/>
      <c r="H122" s="561"/>
      <c r="I122" s="552"/>
      <c r="J122" s="562"/>
      <c r="K122" s="549"/>
      <c r="L122" s="558"/>
      <c r="M122" s="549"/>
      <c r="N122" s="558"/>
      <c r="O122" s="549"/>
      <c r="P122" s="558"/>
      <c r="Q122" s="549"/>
      <c r="R122" s="558"/>
      <c r="S122" s="607">
        <f t="shared" ref="S122:S185" si="3">SUM(C122:R122)</f>
        <v>0</v>
      </c>
    </row>
    <row r="123" spans="1:19" x14ac:dyDescent="0.2">
      <c r="A123" s="509" t="s">
        <v>59</v>
      </c>
      <c r="B123" s="532" t="s">
        <v>31</v>
      </c>
      <c r="C123" s="549"/>
      <c r="D123" s="558"/>
      <c r="E123" s="549"/>
      <c r="F123" s="561"/>
      <c r="G123" s="549"/>
      <c r="H123" s="561"/>
      <c r="I123" s="552"/>
      <c r="J123" s="562">
        <v>-3078</v>
      </c>
      <c r="K123" s="580"/>
      <c r="L123" s="558"/>
      <c r="M123" s="553">
        <v>3078</v>
      </c>
      <c r="N123" s="558"/>
      <c r="O123" s="549"/>
      <c r="P123" s="589"/>
      <c r="Q123" s="549"/>
      <c r="R123" s="558"/>
      <c r="S123" s="607">
        <f t="shared" si="3"/>
        <v>0</v>
      </c>
    </row>
    <row r="124" spans="1:19" x14ac:dyDescent="0.2">
      <c r="A124" s="509" t="s">
        <v>60</v>
      </c>
      <c r="B124" s="532" t="s">
        <v>31</v>
      </c>
      <c r="C124" s="549"/>
      <c r="D124" s="558"/>
      <c r="E124" s="549"/>
      <c r="F124" s="561"/>
      <c r="G124" s="549"/>
      <c r="H124" s="561"/>
      <c r="I124" s="552"/>
      <c r="J124" s="562">
        <v>-1084</v>
      </c>
      <c r="K124" s="580"/>
      <c r="L124" s="558"/>
      <c r="M124" s="553">
        <v>1084</v>
      </c>
      <c r="N124" s="558"/>
      <c r="O124" s="549"/>
      <c r="P124" s="558"/>
      <c r="Q124" s="549"/>
      <c r="R124" s="558"/>
      <c r="S124" s="607">
        <f t="shared" si="3"/>
        <v>0</v>
      </c>
    </row>
    <row r="125" spans="1:19" x14ac:dyDescent="0.2">
      <c r="A125" s="509" t="s">
        <v>184</v>
      </c>
      <c r="B125" s="532" t="s">
        <v>31</v>
      </c>
      <c r="C125" s="549">
        <v>35715</v>
      </c>
      <c r="D125" s="558"/>
      <c r="E125" s="549"/>
      <c r="F125" s="561"/>
      <c r="G125" s="549"/>
      <c r="H125" s="561"/>
      <c r="I125" s="552"/>
      <c r="J125" s="562">
        <v>-35715</v>
      </c>
      <c r="K125" s="580"/>
      <c r="L125" s="558"/>
      <c r="M125" s="553"/>
      <c r="N125" s="558"/>
      <c r="O125" s="549"/>
      <c r="P125" s="558"/>
      <c r="Q125" s="549"/>
      <c r="R125" s="558"/>
      <c r="S125" s="607">
        <f t="shared" si="3"/>
        <v>0</v>
      </c>
    </row>
    <row r="126" spans="1:19" x14ac:dyDescent="0.2">
      <c r="A126" s="509" t="s">
        <v>185</v>
      </c>
      <c r="B126" s="532" t="s">
        <v>31</v>
      </c>
      <c r="C126" s="549">
        <v>12572</v>
      </c>
      <c r="D126" s="558"/>
      <c r="E126" s="549"/>
      <c r="F126" s="561"/>
      <c r="G126" s="549"/>
      <c r="H126" s="561"/>
      <c r="I126" s="552"/>
      <c r="J126" s="562">
        <v>-12572</v>
      </c>
      <c r="K126" s="580"/>
      <c r="L126" s="558"/>
      <c r="M126" s="553"/>
      <c r="N126" s="558"/>
      <c r="O126" s="549"/>
      <c r="P126" s="558"/>
      <c r="Q126" s="549"/>
      <c r="R126" s="558"/>
      <c r="S126" s="607">
        <f t="shared" si="3"/>
        <v>0</v>
      </c>
    </row>
    <row r="127" spans="1:19" x14ac:dyDescent="0.2">
      <c r="A127" s="509" t="s">
        <v>184</v>
      </c>
      <c r="B127" s="532" t="s">
        <v>31</v>
      </c>
      <c r="C127" s="549"/>
      <c r="D127" s="558"/>
      <c r="E127" s="549">
        <v>10079</v>
      </c>
      <c r="F127" s="561"/>
      <c r="G127" s="549"/>
      <c r="H127" s="561"/>
      <c r="I127" s="552"/>
      <c r="J127" s="562">
        <v>-10079</v>
      </c>
      <c r="K127" s="580"/>
      <c r="L127" s="558"/>
      <c r="M127" s="553"/>
      <c r="N127" s="558"/>
      <c r="O127" s="549"/>
      <c r="P127" s="558"/>
      <c r="Q127" s="549"/>
      <c r="R127" s="558"/>
      <c r="S127" s="607">
        <f t="shared" si="3"/>
        <v>0</v>
      </c>
    </row>
    <row r="128" spans="1:19" x14ac:dyDescent="0.2">
      <c r="A128" s="509" t="s">
        <v>185</v>
      </c>
      <c r="B128" s="532" t="s">
        <v>31</v>
      </c>
      <c r="C128" s="549"/>
      <c r="D128" s="558"/>
      <c r="E128" s="549">
        <v>3548</v>
      </c>
      <c r="F128" s="561"/>
      <c r="G128" s="549"/>
      <c r="H128" s="561"/>
      <c r="I128" s="552"/>
      <c r="J128" s="562">
        <v>-3548</v>
      </c>
      <c r="K128" s="580"/>
      <c r="L128" s="589"/>
      <c r="M128" s="549"/>
      <c r="N128" s="558"/>
      <c r="O128" s="580"/>
      <c r="P128" s="589"/>
      <c r="Q128" s="583"/>
      <c r="R128" s="592"/>
      <c r="S128" s="607">
        <f t="shared" si="3"/>
        <v>0</v>
      </c>
    </row>
    <row r="129" spans="1:19" x14ac:dyDescent="0.2">
      <c r="A129" s="509" t="s">
        <v>184</v>
      </c>
      <c r="B129" s="532" t="s">
        <v>31</v>
      </c>
      <c r="C129" s="549">
        <v>1057</v>
      </c>
      <c r="D129" s="558"/>
      <c r="E129" s="549"/>
      <c r="F129" s="561">
        <v>-1057</v>
      </c>
      <c r="G129" s="549"/>
      <c r="H129" s="562"/>
      <c r="I129" s="553"/>
      <c r="J129" s="558"/>
      <c r="K129" s="584"/>
      <c r="L129" s="558"/>
      <c r="M129" s="549"/>
      <c r="N129" s="558"/>
      <c r="O129" s="549"/>
      <c r="P129" s="558"/>
      <c r="Q129" s="549"/>
      <c r="R129" s="558"/>
      <c r="S129" s="607">
        <f t="shared" si="3"/>
        <v>0</v>
      </c>
    </row>
    <row r="130" spans="1:19" x14ac:dyDescent="0.2">
      <c r="A130" s="509" t="s">
        <v>185</v>
      </c>
      <c r="B130" s="532" t="s">
        <v>31</v>
      </c>
      <c r="C130" s="549">
        <v>373</v>
      </c>
      <c r="D130" s="558"/>
      <c r="E130" s="549"/>
      <c r="F130" s="561">
        <v>-373</v>
      </c>
      <c r="G130" s="549"/>
      <c r="H130" s="562"/>
      <c r="I130" s="553"/>
      <c r="J130" s="558"/>
      <c r="K130" s="584"/>
      <c r="L130" s="558"/>
      <c r="M130" s="549"/>
      <c r="N130" s="558"/>
      <c r="O130" s="549"/>
      <c r="P130" s="558"/>
      <c r="Q130" s="549"/>
      <c r="R130" s="558"/>
      <c r="S130" s="607">
        <f t="shared" si="3"/>
        <v>0</v>
      </c>
    </row>
    <row r="131" spans="1:19" x14ac:dyDescent="0.2">
      <c r="A131" s="509" t="s">
        <v>225</v>
      </c>
      <c r="B131" s="532" t="s">
        <v>31</v>
      </c>
      <c r="C131" s="549"/>
      <c r="D131" s="558"/>
      <c r="E131" s="549"/>
      <c r="F131" s="561">
        <v>-17543.23</v>
      </c>
      <c r="G131" s="549"/>
      <c r="H131" s="562"/>
      <c r="I131" s="553"/>
      <c r="J131" s="558"/>
      <c r="K131" s="584"/>
      <c r="L131" s="558"/>
      <c r="M131" s="549">
        <v>17543.23</v>
      </c>
      <c r="N131" s="558"/>
      <c r="O131" s="549"/>
      <c r="P131" s="558"/>
      <c r="Q131" s="549"/>
      <c r="R131" s="558"/>
      <c r="S131" s="607">
        <f t="shared" si="3"/>
        <v>0</v>
      </c>
    </row>
    <row r="132" spans="1:19" x14ac:dyDescent="0.2">
      <c r="A132" s="509" t="s">
        <v>226</v>
      </c>
      <c r="B132" s="532" t="s">
        <v>31</v>
      </c>
      <c r="C132" s="549"/>
      <c r="D132" s="558"/>
      <c r="E132" s="549"/>
      <c r="F132" s="561">
        <v>-6175.22</v>
      </c>
      <c r="G132" s="549"/>
      <c r="H132" s="562"/>
      <c r="I132" s="553"/>
      <c r="J132" s="558"/>
      <c r="K132" s="584"/>
      <c r="L132" s="558"/>
      <c r="M132" s="549">
        <v>6175.22</v>
      </c>
      <c r="N132" s="558"/>
      <c r="O132" s="549"/>
      <c r="P132" s="558"/>
      <c r="Q132" s="549"/>
      <c r="R132" s="558"/>
      <c r="S132" s="607">
        <f t="shared" si="3"/>
        <v>0</v>
      </c>
    </row>
    <row r="133" spans="1:19" x14ac:dyDescent="0.2">
      <c r="A133" s="509" t="s">
        <v>238</v>
      </c>
      <c r="B133" s="532" t="s">
        <v>31</v>
      </c>
      <c r="C133" s="549">
        <f>-817+1971+8938+1067</f>
        <v>11159</v>
      </c>
      <c r="D133" s="558">
        <v>-1971</v>
      </c>
      <c r="E133" s="549">
        <v>817</v>
      </c>
      <c r="F133" s="561">
        <v>-1067</v>
      </c>
      <c r="G133" s="549">
        <v>-8938</v>
      </c>
      <c r="H133" s="562"/>
      <c r="I133" s="553"/>
      <c r="J133" s="558"/>
      <c r="K133" s="584"/>
      <c r="L133" s="558"/>
      <c r="M133" s="549"/>
      <c r="N133" s="558"/>
      <c r="O133" s="549"/>
      <c r="P133" s="558"/>
      <c r="Q133" s="549"/>
      <c r="R133" s="558"/>
      <c r="S133" s="607">
        <f t="shared" si="3"/>
        <v>0</v>
      </c>
    </row>
    <row r="134" spans="1:19" x14ac:dyDescent="0.2">
      <c r="A134" s="509" t="s">
        <v>239</v>
      </c>
      <c r="B134" s="532" t="s">
        <v>31</v>
      </c>
      <c r="C134" s="549">
        <f>-288+694+3146+376</f>
        <v>3928</v>
      </c>
      <c r="D134" s="558">
        <v>-694</v>
      </c>
      <c r="E134" s="549">
        <v>288</v>
      </c>
      <c r="F134" s="561">
        <v>-376</v>
      </c>
      <c r="G134" s="549">
        <v>-3146</v>
      </c>
      <c r="H134" s="562"/>
      <c r="I134" s="553"/>
      <c r="J134" s="558"/>
      <c r="K134" s="584"/>
      <c r="L134" s="558"/>
      <c r="M134" s="549"/>
      <c r="N134" s="558"/>
      <c r="O134" s="549"/>
      <c r="P134" s="558"/>
      <c r="Q134" s="549"/>
      <c r="R134" s="558"/>
      <c r="S134" s="607">
        <f t="shared" si="3"/>
        <v>0</v>
      </c>
    </row>
    <row r="135" spans="1:19" x14ac:dyDescent="0.2">
      <c r="A135" s="509" t="s">
        <v>244</v>
      </c>
      <c r="B135" s="532" t="s">
        <v>31</v>
      </c>
      <c r="C135" s="549"/>
      <c r="D135" s="558"/>
      <c r="E135" s="549"/>
      <c r="F135" s="569"/>
      <c r="G135" s="549"/>
      <c r="H135" s="562"/>
      <c r="I135" s="553"/>
      <c r="J135" s="558">
        <v>-5891</v>
      </c>
      <c r="K135" s="584"/>
      <c r="L135" s="558"/>
      <c r="M135" s="549">
        <v>5891</v>
      </c>
      <c r="N135" s="558"/>
      <c r="O135" s="549"/>
      <c r="P135" s="558"/>
      <c r="Q135" s="549"/>
      <c r="R135" s="558"/>
      <c r="S135" s="607">
        <f t="shared" si="3"/>
        <v>0</v>
      </c>
    </row>
    <row r="136" spans="1:19" ht="13.5" customHeight="1" x14ac:dyDescent="0.2">
      <c r="A136" s="509" t="s">
        <v>245</v>
      </c>
      <c r="B136" s="532" t="s">
        <v>31</v>
      </c>
      <c r="C136" s="549"/>
      <c r="D136" s="558"/>
      <c r="E136" s="549"/>
      <c r="F136" s="569"/>
      <c r="G136" s="549"/>
      <c r="H136" s="562"/>
      <c r="I136" s="553"/>
      <c r="J136" s="558">
        <v>-2073</v>
      </c>
      <c r="K136" s="584"/>
      <c r="L136" s="558"/>
      <c r="M136" s="549">
        <v>2073</v>
      </c>
      <c r="N136" s="558"/>
      <c r="O136" s="549"/>
      <c r="P136" s="558"/>
      <c r="Q136" s="549"/>
      <c r="R136" s="558"/>
      <c r="S136" s="607">
        <f t="shared" si="3"/>
        <v>0</v>
      </c>
    </row>
    <row r="137" spans="1:19" x14ac:dyDescent="0.2">
      <c r="A137" s="517" t="s">
        <v>61</v>
      </c>
      <c r="B137" s="533" t="s">
        <v>31</v>
      </c>
      <c r="C137" s="552"/>
      <c r="D137" s="558"/>
      <c r="E137" s="549"/>
      <c r="F137" s="561"/>
      <c r="G137" s="549"/>
      <c r="H137" s="562"/>
      <c r="I137" s="553"/>
      <c r="J137" s="558"/>
      <c r="K137" s="584"/>
      <c r="L137" s="558"/>
      <c r="M137" s="549"/>
      <c r="N137" s="558"/>
      <c r="O137" s="549"/>
      <c r="P137" s="558"/>
      <c r="Q137" s="549"/>
      <c r="R137" s="558"/>
      <c r="S137" s="607">
        <f t="shared" si="3"/>
        <v>0</v>
      </c>
    </row>
    <row r="138" spans="1:19" x14ac:dyDescent="0.2">
      <c r="A138" s="517" t="s">
        <v>62</v>
      </c>
      <c r="B138" s="533" t="s">
        <v>31</v>
      </c>
      <c r="C138" s="552"/>
      <c r="D138" s="558"/>
      <c r="E138" s="549"/>
      <c r="F138" s="561"/>
      <c r="G138" s="549"/>
      <c r="H138" s="562"/>
      <c r="I138" s="553"/>
      <c r="J138" s="558"/>
      <c r="K138" s="584"/>
      <c r="L138" s="558"/>
      <c r="M138" s="549"/>
      <c r="N138" s="558"/>
      <c r="O138" s="549"/>
      <c r="P138" s="558"/>
      <c r="Q138" s="549"/>
      <c r="R138" s="558"/>
      <c r="S138" s="607">
        <f t="shared" si="3"/>
        <v>0</v>
      </c>
    </row>
    <row r="139" spans="1:19" x14ac:dyDescent="0.2">
      <c r="A139" s="509" t="s">
        <v>63</v>
      </c>
      <c r="B139" s="532" t="s">
        <v>31</v>
      </c>
      <c r="C139" s="549"/>
      <c r="D139" s="558"/>
      <c r="E139" s="549"/>
      <c r="F139" s="561"/>
      <c r="G139" s="549"/>
      <c r="H139" s="562"/>
      <c r="I139" s="553"/>
      <c r="J139" s="558"/>
      <c r="K139" s="584"/>
      <c r="L139" s="558"/>
      <c r="M139" s="549"/>
      <c r="N139" s="558"/>
      <c r="O139" s="549"/>
      <c r="P139" s="558"/>
      <c r="Q139" s="549"/>
      <c r="R139" s="558"/>
      <c r="S139" s="607">
        <f t="shared" si="3"/>
        <v>0</v>
      </c>
    </row>
    <row r="140" spans="1:19" x14ac:dyDescent="0.2">
      <c r="A140" s="509" t="s">
        <v>64</v>
      </c>
      <c r="B140" s="532" t="s">
        <v>31</v>
      </c>
      <c r="C140" s="549"/>
      <c r="D140" s="558"/>
      <c r="E140" s="549"/>
      <c r="F140" s="561"/>
      <c r="G140" s="549"/>
      <c r="H140" s="562"/>
      <c r="I140" s="553"/>
      <c r="J140" s="558"/>
      <c r="K140" s="549"/>
      <c r="L140" s="558"/>
      <c r="M140" s="549"/>
      <c r="N140" s="558"/>
      <c r="O140" s="549"/>
      <c r="P140" s="558"/>
      <c r="Q140" s="549"/>
      <c r="R140" s="558"/>
      <c r="S140" s="607">
        <f t="shared" si="3"/>
        <v>0</v>
      </c>
    </row>
    <row r="141" spans="1:19" x14ac:dyDescent="0.2">
      <c r="A141" s="509" t="s">
        <v>63</v>
      </c>
      <c r="B141" s="532" t="s">
        <v>31</v>
      </c>
      <c r="C141" s="549"/>
      <c r="D141" s="558"/>
      <c r="E141" s="549"/>
      <c r="F141" s="561"/>
      <c r="G141" s="549"/>
      <c r="H141" s="562"/>
      <c r="I141" s="553"/>
      <c r="J141" s="558"/>
      <c r="K141" s="549"/>
      <c r="L141" s="558"/>
      <c r="M141" s="549"/>
      <c r="N141" s="558"/>
      <c r="O141" s="549"/>
      <c r="P141" s="558"/>
      <c r="Q141" s="549"/>
      <c r="R141" s="558"/>
      <c r="S141" s="607">
        <f t="shared" si="3"/>
        <v>0</v>
      </c>
    </row>
    <row r="142" spans="1:19" x14ac:dyDescent="0.2">
      <c r="A142" s="509" t="s">
        <v>64</v>
      </c>
      <c r="B142" s="532" t="s">
        <v>31</v>
      </c>
      <c r="C142" s="549"/>
      <c r="D142" s="558"/>
      <c r="E142" s="549"/>
      <c r="F142" s="561"/>
      <c r="G142" s="549"/>
      <c r="H142" s="562"/>
      <c r="I142" s="553"/>
      <c r="J142" s="558"/>
      <c r="K142" s="549"/>
      <c r="L142" s="558"/>
      <c r="M142" s="549"/>
      <c r="N142" s="558"/>
      <c r="O142" s="549"/>
      <c r="P142" s="558"/>
      <c r="Q142" s="549"/>
      <c r="R142" s="558"/>
      <c r="S142" s="607">
        <f t="shared" si="3"/>
        <v>0</v>
      </c>
    </row>
    <row r="143" spans="1:19" x14ac:dyDescent="0.2">
      <c r="A143" s="518" t="s">
        <v>227</v>
      </c>
      <c r="B143" s="533" t="s">
        <v>32</v>
      </c>
      <c r="C143" s="549"/>
      <c r="D143" s="558"/>
      <c r="E143" s="549"/>
      <c r="F143" s="561"/>
      <c r="G143" s="549"/>
      <c r="H143" s="562"/>
      <c r="I143" s="553"/>
      <c r="J143" s="558"/>
      <c r="K143" s="549"/>
      <c r="L143" s="558"/>
      <c r="M143" s="549"/>
      <c r="N143" s="558"/>
      <c r="O143" s="549"/>
      <c r="P143" s="558">
        <v>-76200</v>
      </c>
      <c r="Q143" s="549"/>
      <c r="R143" s="558"/>
      <c r="S143" s="607">
        <f t="shared" si="3"/>
        <v>-76200</v>
      </c>
    </row>
    <row r="144" spans="1:19" x14ac:dyDescent="0.2">
      <c r="A144" s="518" t="s">
        <v>228</v>
      </c>
      <c r="B144" s="534" t="s">
        <v>31</v>
      </c>
      <c r="C144" s="549"/>
      <c r="D144" s="558"/>
      <c r="E144" s="549"/>
      <c r="F144" s="561"/>
      <c r="G144" s="549"/>
      <c r="H144" s="562"/>
      <c r="I144" s="553"/>
      <c r="J144" s="558"/>
      <c r="K144" s="549"/>
      <c r="L144" s="558"/>
      <c r="M144" s="549"/>
      <c r="N144" s="558"/>
      <c r="O144" s="549"/>
      <c r="P144" s="558">
        <v>76200</v>
      </c>
      <c r="Q144" s="549"/>
      <c r="R144" s="558"/>
      <c r="S144" s="607">
        <f t="shared" si="3"/>
        <v>76200</v>
      </c>
    </row>
    <row r="145" spans="1:19" x14ac:dyDescent="0.2">
      <c r="A145" s="518" t="s">
        <v>229</v>
      </c>
      <c r="B145" s="534" t="s">
        <v>31</v>
      </c>
      <c r="C145" s="549"/>
      <c r="D145" s="558"/>
      <c r="E145" s="549"/>
      <c r="F145" s="561"/>
      <c r="G145" s="549"/>
      <c r="H145" s="562"/>
      <c r="I145" s="553"/>
      <c r="J145" s="558"/>
      <c r="K145" s="549"/>
      <c r="L145" s="558"/>
      <c r="M145" s="549"/>
      <c r="N145" s="558"/>
      <c r="O145" s="549"/>
      <c r="P145" s="558">
        <v>-14000</v>
      </c>
      <c r="Q145" s="549"/>
      <c r="R145" s="558"/>
      <c r="S145" s="607">
        <f t="shared" si="3"/>
        <v>-14000</v>
      </c>
    </row>
    <row r="146" spans="1:19" x14ac:dyDescent="0.2">
      <c r="A146" s="518" t="s">
        <v>230</v>
      </c>
      <c r="B146" s="534" t="s">
        <v>32</v>
      </c>
      <c r="C146" s="549"/>
      <c r="D146" s="558"/>
      <c r="E146" s="549"/>
      <c r="F146" s="561"/>
      <c r="G146" s="549"/>
      <c r="H146" s="562"/>
      <c r="I146" s="553"/>
      <c r="J146" s="558"/>
      <c r="K146" s="549"/>
      <c r="L146" s="558"/>
      <c r="M146" s="549"/>
      <c r="N146" s="558"/>
      <c r="O146" s="549"/>
      <c r="P146" s="558">
        <v>14000</v>
      </c>
      <c r="Q146" s="549"/>
      <c r="R146" s="558"/>
      <c r="S146" s="607">
        <f t="shared" si="3"/>
        <v>14000</v>
      </c>
    </row>
    <row r="147" spans="1:19" x14ac:dyDescent="0.2">
      <c r="A147" s="518" t="s">
        <v>242</v>
      </c>
      <c r="B147" s="533" t="s">
        <v>32</v>
      </c>
      <c r="C147" s="549"/>
      <c r="D147" s="561">
        <v>-1111152</v>
      </c>
      <c r="E147" s="549">
        <v>-600000</v>
      </c>
      <c r="F147" s="561"/>
      <c r="G147" s="549"/>
      <c r="H147" s="562"/>
      <c r="I147" s="553"/>
      <c r="J147" s="558"/>
      <c r="K147" s="549"/>
      <c r="L147" s="558"/>
      <c r="M147" s="549"/>
      <c r="N147" s="558"/>
      <c r="O147" s="549"/>
      <c r="P147" s="558"/>
      <c r="Q147" s="549"/>
      <c r="R147" s="558"/>
      <c r="S147" s="607">
        <f t="shared" si="3"/>
        <v>-1711152</v>
      </c>
    </row>
    <row r="148" spans="1:19" x14ac:dyDescent="0.2">
      <c r="A148" s="518" t="s">
        <v>65</v>
      </c>
      <c r="B148" s="534" t="s">
        <v>31</v>
      </c>
      <c r="C148" s="549"/>
      <c r="D148" s="561">
        <v>738375</v>
      </c>
      <c r="E148" s="549">
        <v>369822</v>
      </c>
      <c r="F148" s="561"/>
      <c r="G148" s="549"/>
      <c r="H148" s="562"/>
      <c r="I148" s="553"/>
      <c r="J148" s="558"/>
      <c r="K148" s="549"/>
      <c r="L148" s="558"/>
      <c r="M148" s="549"/>
      <c r="N148" s="558"/>
      <c r="O148" s="549"/>
      <c r="P148" s="558"/>
      <c r="Q148" s="549"/>
      <c r="R148" s="558"/>
      <c r="S148" s="607">
        <f t="shared" si="3"/>
        <v>1108197</v>
      </c>
    </row>
    <row r="149" spans="1:19" x14ac:dyDescent="0.2">
      <c r="A149" s="518" t="s">
        <v>66</v>
      </c>
      <c r="B149" s="534" t="s">
        <v>31</v>
      </c>
      <c r="C149" s="549"/>
      <c r="D149" s="561">
        <v>259908</v>
      </c>
      <c r="E149" s="549">
        <v>130178</v>
      </c>
      <c r="F149" s="561"/>
      <c r="G149" s="549"/>
      <c r="H149" s="562"/>
      <c r="I149" s="553"/>
      <c r="J149" s="558"/>
      <c r="K149" s="549"/>
      <c r="L149" s="558"/>
      <c r="M149" s="549"/>
      <c r="N149" s="558"/>
      <c r="O149" s="549"/>
      <c r="P149" s="558"/>
      <c r="Q149" s="549"/>
      <c r="R149" s="558"/>
      <c r="S149" s="607">
        <f t="shared" si="3"/>
        <v>390086</v>
      </c>
    </row>
    <row r="150" spans="1:19" x14ac:dyDescent="0.2">
      <c r="A150" s="518" t="s">
        <v>67</v>
      </c>
      <c r="B150" s="534" t="s">
        <v>31</v>
      </c>
      <c r="C150" s="549"/>
      <c r="D150" s="561">
        <v>112869</v>
      </c>
      <c r="E150" s="549">
        <v>100000</v>
      </c>
      <c r="F150" s="561"/>
      <c r="G150" s="549"/>
      <c r="H150" s="562"/>
      <c r="I150" s="553"/>
      <c r="J150" s="558"/>
      <c r="K150" s="549"/>
      <c r="L150" s="558"/>
      <c r="M150" s="549"/>
      <c r="N150" s="558"/>
      <c r="O150" s="549"/>
      <c r="P150" s="558"/>
      <c r="Q150" s="549"/>
      <c r="R150" s="558"/>
      <c r="S150" s="607">
        <f t="shared" si="3"/>
        <v>212869</v>
      </c>
    </row>
    <row r="151" spans="1:19" x14ac:dyDescent="0.2">
      <c r="A151" s="518" t="s">
        <v>252</v>
      </c>
      <c r="B151" s="533" t="s">
        <v>31</v>
      </c>
      <c r="C151" s="549"/>
      <c r="D151" s="558"/>
      <c r="E151" s="549"/>
      <c r="F151" s="561"/>
      <c r="G151" s="549"/>
      <c r="H151" s="562"/>
      <c r="I151" s="553"/>
      <c r="J151" s="558"/>
      <c r="K151" s="549"/>
      <c r="L151" s="558"/>
      <c r="M151" s="549">
        <v>-3713</v>
      </c>
      <c r="N151" s="558"/>
      <c r="O151" s="549">
        <v>3713</v>
      </c>
      <c r="P151" s="558"/>
      <c r="Q151" s="549"/>
      <c r="R151" s="558"/>
      <c r="S151" s="607">
        <f t="shared" si="3"/>
        <v>0</v>
      </c>
    </row>
    <row r="152" spans="1:19" x14ac:dyDescent="0.2">
      <c r="A152" s="518" t="s">
        <v>253</v>
      </c>
      <c r="B152" s="534" t="s">
        <v>31</v>
      </c>
      <c r="C152" s="549"/>
      <c r="D152" s="558"/>
      <c r="E152" s="549"/>
      <c r="F152" s="561"/>
      <c r="G152" s="549"/>
      <c r="H152" s="562"/>
      <c r="I152" s="553"/>
      <c r="J152" s="558"/>
      <c r="K152" s="549"/>
      <c r="L152" s="558"/>
      <c r="M152" s="549">
        <v>-41631</v>
      </c>
      <c r="N152" s="558"/>
      <c r="O152" s="549">
        <v>41631</v>
      </c>
      <c r="P152" s="558"/>
      <c r="Q152" s="549"/>
      <c r="R152" s="558"/>
      <c r="S152" s="607">
        <f t="shared" si="3"/>
        <v>0</v>
      </c>
    </row>
    <row r="153" spans="1:19" x14ac:dyDescent="0.2">
      <c r="A153" s="518" t="s">
        <v>254</v>
      </c>
      <c r="B153" s="534" t="s">
        <v>31</v>
      </c>
      <c r="C153" s="549"/>
      <c r="D153" s="558"/>
      <c r="E153" s="549"/>
      <c r="F153" s="561"/>
      <c r="G153" s="549"/>
      <c r="H153" s="562"/>
      <c r="I153" s="553"/>
      <c r="J153" s="558"/>
      <c r="K153" s="549"/>
      <c r="L153" s="558"/>
      <c r="M153" s="549">
        <v>-14656</v>
      </c>
      <c r="N153" s="558"/>
      <c r="O153" s="549">
        <v>14656</v>
      </c>
      <c r="P153" s="558"/>
      <c r="Q153" s="549"/>
      <c r="R153" s="558"/>
      <c r="S153" s="607">
        <f t="shared" si="3"/>
        <v>0</v>
      </c>
    </row>
    <row r="154" spans="1:19" x14ac:dyDescent="0.2">
      <c r="A154" s="518" t="s">
        <v>261</v>
      </c>
      <c r="B154" s="534" t="s">
        <v>32</v>
      </c>
      <c r="C154" s="549"/>
      <c r="D154" s="558"/>
      <c r="E154" s="549"/>
      <c r="F154" s="561"/>
      <c r="G154" s="549"/>
      <c r="H154" s="562"/>
      <c r="I154" s="553"/>
      <c r="J154" s="558"/>
      <c r="K154" s="549"/>
      <c r="L154" s="558"/>
      <c r="M154" s="549">
        <v>-24286</v>
      </c>
      <c r="N154" s="558"/>
      <c r="O154" s="549"/>
      <c r="P154" s="558"/>
      <c r="Q154" s="549"/>
      <c r="R154" s="558"/>
      <c r="S154" s="607">
        <f t="shared" si="3"/>
        <v>-24286</v>
      </c>
    </row>
    <row r="155" spans="1:19" x14ac:dyDescent="0.2">
      <c r="A155" s="518" t="s">
        <v>261</v>
      </c>
      <c r="B155" s="533" t="s">
        <v>32</v>
      </c>
      <c r="C155" s="549"/>
      <c r="D155" s="558"/>
      <c r="E155" s="549"/>
      <c r="F155" s="561"/>
      <c r="G155" s="549"/>
      <c r="H155" s="562"/>
      <c r="I155" s="553"/>
      <c r="J155" s="558"/>
      <c r="K155" s="549"/>
      <c r="L155" s="558"/>
      <c r="M155" s="549">
        <v>24286</v>
      </c>
      <c r="N155" s="558"/>
      <c r="O155" s="549"/>
      <c r="P155" s="558"/>
      <c r="Q155" s="549"/>
      <c r="R155" s="558"/>
      <c r="S155" s="607">
        <f t="shared" si="3"/>
        <v>24286</v>
      </c>
    </row>
    <row r="156" spans="1:19" x14ac:dyDescent="0.2">
      <c r="A156" s="518" t="s">
        <v>262</v>
      </c>
      <c r="B156" s="534" t="s">
        <v>32</v>
      </c>
      <c r="C156" s="549"/>
      <c r="D156" s="558"/>
      <c r="E156" s="549"/>
      <c r="F156" s="561"/>
      <c r="G156" s="549"/>
      <c r="H156" s="562"/>
      <c r="I156" s="553"/>
      <c r="J156" s="558"/>
      <c r="K156" s="549"/>
      <c r="L156" s="558"/>
      <c r="M156" s="549">
        <v>-354000</v>
      </c>
      <c r="N156" s="558"/>
      <c r="O156" s="549"/>
      <c r="P156" s="558"/>
      <c r="Q156" s="549"/>
      <c r="R156" s="558"/>
      <c r="S156" s="607">
        <f t="shared" si="3"/>
        <v>-354000</v>
      </c>
    </row>
    <row r="157" spans="1:19" x14ac:dyDescent="0.2">
      <c r="A157" s="518" t="s">
        <v>263</v>
      </c>
      <c r="B157" s="534" t="s">
        <v>269</v>
      </c>
      <c r="C157" s="549"/>
      <c r="D157" s="558"/>
      <c r="E157" s="549"/>
      <c r="F157" s="561"/>
      <c r="G157" s="549"/>
      <c r="H157" s="562"/>
      <c r="I157" s="553"/>
      <c r="J157" s="558"/>
      <c r="K157" s="549"/>
      <c r="L157" s="558"/>
      <c r="M157" s="549">
        <v>249000</v>
      </c>
      <c r="N157" s="558"/>
      <c r="O157" s="549"/>
      <c r="P157" s="558"/>
      <c r="Q157" s="549"/>
      <c r="R157" s="558"/>
      <c r="S157" s="607">
        <f t="shared" si="3"/>
        <v>249000</v>
      </c>
    </row>
    <row r="158" spans="1:19" x14ac:dyDescent="0.2">
      <c r="A158" s="518" t="s">
        <v>264</v>
      </c>
      <c r="B158" s="534" t="s">
        <v>269</v>
      </c>
      <c r="C158" s="549"/>
      <c r="D158" s="558"/>
      <c r="E158" s="549"/>
      <c r="F158" s="561"/>
      <c r="G158" s="549"/>
      <c r="H158" s="562"/>
      <c r="I158" s="553"/>
      <c r="J158" s="558"/>
      <c r="K158" s="549"/>
      <c r="L158" s="558"/>
      <c r="M158" s="549">
        <v>105000</v>
      </c>
      <c r="N158" s="558"/>
      <c r="O158" s="549"/>
      <c r="P158" s="558"/>
      <c r="Q158" s="549"/>
      <c r="R158" s="558"/>
      <c r="S158" s="607">
        <f t="shared" si="3"/>
        <v>105000</v>
      </c>
    </row>
    <row r="159" spans="1:19" x14ac:dyDescent="0.2">
      <c r="A159" s="518" t="s">
        <v>260</v>
      </c>
      <c r="B159" s="533" t="s">
        <v>32</v>
      </c>
      <c r="C159" s="549"/>
      <c r="D159" s="558"/>
      <c r="E159" s="549"/>
      <c r="F159" s="561"/>
      <c r="G159" s="549"/>
      <c r="H159" s="562"/>
      <c r="I159" s="553"/>
      <c r="J159" s="558"/>
      <c r="K159" s="549"/>
      <c r="L159" s="558"/>
      <c r="M159" s="549"/>
      <c r="N159" s="558"/>
      <c r="O159" s="549">
        <v>-456841</v>
      </c>
      <c r="P159" s="558"/>
      <c r="Q159" s="549"/>
      <c r="R159" s="558"/>
      <c r="S159" s="607">
        <f t="shared" si="3"/>
        <v>-456841</v>
      </c>
    </row>
    <row r="160" spans="1:19" x14ac:dyDescent="0.2">
      <c r="A160" s="518" t="s">
        <v>260</v>
      </c>
      <c r="B160" s="534" t="s">
        <v>31</v>
      </c>
      <c r="C160" s="549"/>
      <c r="D160" s="558"/>
      <c r="E160" s="549"/>
      <c r="F160" s="561"/>
      <c r="G160" s="549"/>
      <c r="H160" s="562"/>
      <c r="I160" s="553"/>
      <c r="J160" s="558"/>
      <c r="K160" s="549"/>
      <c r="L160" s="558"/>
      <c r="M160" s="549"/>
      <c r="N160" s="558"/>
      <c r="O160" s="549">
        <v>456841</v>
      </c>
      <c r="P160" s="558"/>
      <c r="Q160" s="549"/>
      <c r="R160" s="558"/>
      <c r="S160" s="607">
        <f t="shared" si="3"/>
        <v>456841</v>
      </c>
    </row>
    <row r="161" spans="1:19" x14ac:dyDescent="0.2">
      <c r="A161" s="518" t="s">
        <v>265</v>
      </c>
      <c r="B161" s="534" t="s">
        <v>32</v>
      </c>
      <c r="C161" s="549">
        <v>-1350000</v>
      </c>
      <c r="D161" s="558"/>
      <c r="E161" s="549"/>
      <c r="F161" s="561"/>
      <c r="G161" s="549"/>
      <c r="H161" s="562"/>
      <c r="I161" s="553"/>
      <c r="J161" s="558"/>
      <c r="K161" s="549"/>
      <c r="L161" s="558"/>
      <c r="M161" s="549"/>
      <c r="N161" s="558"/>
      <c r="O161" s="549"/>
      <c r="P161" s="558"/>
      <c r="Q161" s="549"/>
      <c r="R161" s="558"/>
      <c r="S161" s="607">
        <f t="shared" si="3"/>
        <v>-1350000</v>
      </c>
    </row>
    <row r="162" spans="1:19" x14ac:dyDescent="0.2">
      <c r="A162" s="518" t="s">
        <v>266</v>
      </c>
      <c r="B162" s="534" t="s">
        <v>31</v>
      </c>
      <c r="C162" s="549">
        <v>979120</v>
      </c>
      <c r="D162" s="558"/>
      <c r="E162" s="549"/>
      <c r="F162" s="561"/>
      <c r="G162" s="549"/>
      <c r="H162" s="562"/>
      <c r="I162" s="553"/>
      <c r="J162" s="558"/>
      <c r="K162" s="549"/>
      <c r="L162" s="558"/>
      <c r="M162" s="549"/>
      <c r="N162" s="558"/>
      <c r="O162" s="549"/>
      <c r="P162" s="558"/>
      <c r="Q162" s="549"/>
      <c r="R162" s="558"/>
      <c r="S162" s="607">
        <f t="shared" si="3"/>
        <v>979120</v>
      </c>
    </row>
    <row r="163" spans="1:19" x14ac:dyDescent="0.2">
      <c r="A163" s="519" t="s">
        <v>267</v>
      </c>
      <c r="B163" s="534" t="s">
        <v>31</v>
      </c>
      <c r="C163" s="553">
        <v>370880</v>
      </c>
      <c r="D163" s="562"/>
      <c r="E163" s="549"/>
      <c r="F163" s="561"/>
      <c r="G163" s="549"/>
      <c r="H163" s="562"/>
      <c r="I163" s="553"/>
      <c r="J163" s="558"/>
      <c r="K163" s="549"/>
      <c r="L163" s="558"/>
      <c r="M163" s="549"/>
      <c r="N163" s="558"/>
      <c r="O163" s="549"/>
      <c r="P163" s="558"/>
      <c r="Q163" s="549"/>
      <c r="R163" s="558"/>
      <c r="S163" s="607">
        <f t="shared" si="3"/>
        <v>370880</v>
      </c>
    </row>
    <row r="164" spans="1:19" x14ac:dyDescent="0.2">
      <c r="A164" s="519" t="s">
        <v>268</v>
      </c>
      <c r="B164" s="535" t="s">
        <v>31</v>
      </c>
      <c r="C164" s="553"/>
      <c r="D164" s="562"/>
      <c r="E164" s="549">
        <v>3420</v>
      </c>
      <c r="F164" s="561">
        <f>501</f>
        <v>501</v>
      </c>
      <c r="G164" s="549">
        <f>352</f>
        <v>352</v>
      </c>
      <c r="H164" s="562">
        <v>1000</v>
      </c>
      <c r="I164" s="553"/>
      <c r="J164" s="558"/>
      <c r="K164" s="549"/>
      <c r="L164" s="558"/>
      <c r="M164" s="549"/>
      <c r="N164" s="558"/>
      <c r="O164" s="549"/>
      <c r="P164" s="558">
        <f>-3420-1000-853</f>
        <v>-5273</v>
      </c>
      <c r="Q164" s="549"/>
      <c r="R164" s="558"/>
      <c r="S164" s="607">
        <f t="shared" si="3"/>
        <v>0</v>
      </c>
    </row>
    <row r="165" spans="1:19" x14ac:dyDescent="0.2">
      <c r="A165" s="519" t="s">
        <v>276</v>
      </c>
      <c r="B165" s="536" t="s">
        <v>32</v>
      </c>
      <c r="C165" s="553"/>
      <c r="D165" s="562"/>
      <c r="E165" s="549"/>
      <c r="F165" s="561"/>
      <c r="G165" s="549"/>
      <c r="H165" s="562">
        <f>-240000+-60000</f>
        <v>-300000</v>
      </c>
      <c r="I165" s="553"/>
      <c r="J165" s="558"/>
      <c r="K165" s="549"/>
      <c r="L165" s="558"/>
      <c r="M165" s="552"/>
      <c r="N165" s="561"/>
      <c r="O165" s="552"/>
      <c r="P165" s="558"/>
      <c r="Q165" s="549"/>
      <c r="R165" s="558"/>
      <c r="S165" s="607">
        <f t="shared" si="3"/>
        <v>-300000</v>
      </c>
    </row>
    <row r="166" spans="1:19" x14ac:dyDescent="0.2">
      <c r="A166" s="519" t="s">
        <v>273</v>
      </c>
      <c r="B166" s="536" t="s">
        <v>278</v>
      </c>
      <c r="C166" s="553"/>
      <c r="D166" s="562"/>
      <c r="E166" s="549"/>
      <c r="F166" s="561"/>
      <c r="G166" s="549"/>
      <c r="H166" s="562">
        <v>240000</v>
      </c>
      <c r="I166" s="553"/>
      <c r="J166" s="558"/>
      <c r="K166" s="549"/>
      <c r="L166" s="558"/>
      <c r="M166" s="552"/>
      <c r="N166" s="561"/>
      <c r="O166" s="552"/>
      <c r="P166" s="558"/>
      <c r="Q166" s="549"/>
      <c r="R166" s="558"/>
      <c r="S166" s="607">
        <f t="shared" si="3"/>
        <v>240000</v>
      </c>
    </row>
    <row r="167" spans="1:19" x14ac:dyDescent="0.2">
      <c r="A167" s="519" t="s">
        <v>272</v>
      </c>
      <c r="B167" s="536" t="s">
        <v>279</v>
      </c>
      <c r="C167" s="549"/>
      <c r="D167" s="558"/>
      <c r="E167" s="549"/>
      <c r="F167" s="561"/>
      <c r="G167" s="549"/>
      <c r="H167" s="562">
        <v>60000</v>
      </c>
      <c r="I167" s="553"/>
      <c r="J167" s="558"/>
      <c r="K167" s="549"/>
      <c r="L167" s="558"/>
      <c r="M167" s="552"/>
      <c r="N167" s="561"/>
      <c r="O167" s="552"/>
      <c r="P167" s="558"/>
      <c r="Q167" s="549"/>
      <c r="R167" s="558"/>
      <c r="S167" s="607">
        <f t="shared" si="3"/>
        <v>60000</v>
      </c>
    </row>
    <row r="168" spans="1:19" x14ac:dyDescent="0.2">
      <c r="A168" s="519" t="s">
        <v>277</v>
      </c>
      <c r="B168" s="536" t="s">
        <v>32</v>
      </c>
      <c r="C168" s="549"/>
      <c r="D168" s="558"/>
      <c r="E168" s="549"/>
      <c r="F168" s="561"/>
      <c r="G168" s="549"/>
      <c r="H168" s="562">
        <v>65580</v>
      </c>
      <c r="I168" s="553"/>
      <c r="J168" s="558"/>
      <c r="K168" s="549"/>
      <c r="L168" s="558"/>
      <c r="M168" s="594"/>
      <c r="N168" s="561"/>
      <c r="O168" s="594"/>
      <c r="P168" s="558"/>
      <c r="Q168" s="549"/>
      <c r="R168" s="558"/>
      <c r="S168" s="607">
        <f t="shared" si="3"/>
        <v>65580</v>
      </c>
    </row>
    <row r="169" spans="1:19" x14ac:dyDescent="0.2">
      <c r="A169" s="519" t="s">
        <v>274</v>
      </c>
      <c r="B169" s="533" t="s">
        <v>278</v>
      </c>
      <c r="C169" s="549"/>
      <c r="D169" s="558"/>
      <c r="E169" s="549"/>
      <c r="F169" s="561"/>
      <c r="G169" s="549"/>
      <c r="H169" s="562">
        <v>-48924</v>
      </c>
      <c r="I169" s="553"/>
      <c r="J169" s="558"/>
      <c r="K169" s="549"/>
      <c r="L169" s="558"/>
      <c r="M169" s="549"/>
      <c r="N169" s="558"/>
      <c r="O169" s="549"/>
      <c r="P169" s="558"/>
      <c r="Q169" s="549"/>
      <c r="R169" s="558"/>
      <c r="S169" s="607">
        <f t="shared" si="3"/>
        <v>-48924</v>
      </c>
    </row>
    <row r="170" spans="1:19" x14ac:dyDescent="0.2">
      <c r="A170" s="519" t="s">
        <v>275</v>
      </c>
      <c r="B170" s="534" t="s">
        <v>279</v>
      </c>
      <c r="C170" s="549"/>
      <c r="D170" s="558"/>
      <c r="E170" s="549"/>
      <c r="F170" s="561"/>
      <c r="G170" s="549"/>
      <c r="H170" s="562">
        <v>-16656</v>
      </c>
      <c r="I170" s="553"/>
      <c r="J170" s="558"/>
      <c r="K170" s="549"/>
      <c r="L170" s="558"/>
      <c r="M170" s="549"/>
      <c r="N170" s="558"/>
      <c r="O170" s="549"/>
      <c r="P170" s="558"/>
      <c r="Q170" s="549"/>
      <c r="R170" s="558"/>
      <c r="S170" s="607">
        <f t="shared" si="3"/>
        <v>-16656</v>
      </c>
    </row>
    <row r="171" spans="1:19" x14ac:dyDescent="0.2">
      <c r="A171" s="518" t="s">
        <v>280</v>
      </c>
      <c r="B171" s="533" t="s">
        <v>181</v>
      </c>
      <c r="C171" s="549"/>
      <c r="D171" s="558"/>
      <c r="E171" s="549">
        <v>104050</v>
      </c>
      <c r="F171" s="561"/>
      <c r="G171" s="549"/>
      <c r="H171" s="562"/>
      <c r="I171" s="553"/>
      <c r="J171" s="558"/>
      <c r="K171" s="549"/>
      <c r="L171" s="558"/>
      <c r="M171" s="549"/>
      <c r="N171" s="558"/>
      <c r="O171" s="549">
        <v>-104050</v>
      </c>
      <c r="P171" s="558"/>
      <c r="Q171" s="549"/>
      <c r="R171" s="558"/>
      <c r="S171" s="607">
        <f t="shared" si="3"/>
        <v>0</v>
      </c>
    </row>
    <row r="172" spans="1:19" x14ac:dyDescent="0.2">
      <c r="A172" s="518" t="s">
        <v>282</v>
      </c>
      <c r="B172" s="534" t="s">
        <v>269</v>
      </c>
      <c r="C172" s="549"/>
      <c r="D172" s="558"/>
      <c r="E172" s="549"/>
      <c r="F172" s="561"/>
      <c r="G172" s="549"/>
      <c r="H172" s="562"/>
      <c r="I172" s="553"/>
      <c r="J172" s="558"/>
      <c r="K172" s="549"/>
      <c r="L172" s="558"/>
      <c r="M172" s="549"/>
      <c r="N172" s="558"/>
      <c r="O172" s="549"/>
      <c r="P172" s="558">
        <v>164504</v>
      </c>
      <c r="Q172" s="549"/>
      <c r="R172" s="558"/>
      <c r="S172" s="607">
        <f t="shared" si="3"/>
        <v>164504</v>
      </c>
    </row>
    <row r="173" spans="1:19" x14ac:dyDescent="0.2">
      <c r="A173" s="518" t="s">
        <v>282</v>
      </c>
      <c r="B173" s="533" t="s">
        <v>37</v>
      </c>
      <c r="C173" s="549"/>
      <c r="D173" s="558"/>
      <c r="E173" s="549"/>
      <c r="F173" s="561"/>
      <c r="G173" s="549"/>
      <c r="H173" s="562"/>
      <c r="I173" s="553"/>
      <c r="J173" s="558"/>
      <c r="K173" s="549"/>
      <c r="L173" s="558"/>
      <c r="M173" s="549"/>
      <c r="N173" s="558"/>
      <c r="O173" s="549"/>
      <c r="P173" s="558">
        <v>-164504</v>
      </c>
      <c r="Q173" s="549"/>
      <c r="R173" s="558"/>
      <c r="S173" s="607">
        <f t="shared" si="3"/>
        <v>-164504</v>
      </c>
    </row>
    <row r="174" spans="1:19" x14ac:dyDescent="0.2">
      <c r="A174" s="518" t="s">
        <v>284</v>
      </c>
      <c r="B174" s="534" t="s">
        <v>32</v>
      </c>
      <c r="C174" s="549">
        <f>-48732.01-42767.35</f>
        <v>-91499.36</v>
      </c>
      <c r="D174" s="558"/>
      <c r="E174" s="549">
        <v>-198805.28</v>
      </c>
      <c r="F174" s="561">
        <v>-108778.54</v>
      </c>
      <c r="G174" s="549"/>
      <c r="H174" s="562"/>
      <c r="I174" s="553"/>
      <c r="J174" s="558"/>
      <c r="K174" s="549"/>
      <c r="L174" s="558"/>
      <c r="M174" s="549"/>
      <c r="N174" s="558"/>
      <c r="O174" s="549">
        <v>-74008.87</v>
      </c>
      <c r="P174" s="558"/>
      <c r="Q174" s="549">
        <f>108778.54+48732.01+42767.35+74008.87+198805.28</f>
        <v>473092.05000000005</v>
      </c>
      <c r="R174" s="558"/>
      <c r="S174" s="607">
        <f t="shared" si="3"/>
        <v>0</v>
      </c>
    </row>
    <row r="175" spans="1:19" x14ac:dyDescent="0.2">
      <c r="A175" s="518" t="s">
        <v>284</v>
      </c>
      <c r="B175" s="532" t="s">
        <v>31</v>
      </c>
      <c r="C175" s="549"/>
      <c r="D175" s="558">
        <v>-5078.76</v>
      </c>
      <c r="E175" s="549"/>
      <c r="F175" s="561"/>
      <c r="G175" s="549"/>
      <c r="H175" s="562"/>
      <c r="I175" s="553"/>
      <c r="J175" s="558"/>
      <c r="K175" s="549"/>
      <c r="L175" s="558"/>
      <c r="M175" s="549"/>
      <c r="N175" s="558"/>
      <c r="O175" s="549"/>
      <c r="P175" s="562"/>
      <c r="Q175" s="549">
        <v>5078.76</v>
      </c>
      <c r="R175" s="558"/>
      <c r="S175" s="607">
        <f t="shared" si="3"/>
        <v>0</v>
      </c>
    </row>
    <row r="176" spans="1:19" x14ac:dyDescent="0.2">
      <c r="A176" s="509" t="s">
        <v>285</v>
      </c>
      <c r="B176" s="537" t="s">
        <v>269</v>
      </c>
      <c r="C176" s="549"/>
      <c r="D176" s="558"/>
      <c r="E176" s="549"/>
      <c r="F176" s="561"/>
      <c r="G176" s="549"/>
      <c r="H176" s="562"/>
      <c r="I176" s="553"/>
      <c r="J176" s="558"/>
      <c r="K176" s="549"/>
      <c r="L176" s="558"/>
      <c r="M176" s="549"/>
      <c r="N176" s="558"/>
      <c r="O176" s="549"/>
      <c r="P176" s="562"/>
      <c r="Q176" s="549">
        <v>-5078.76</v>
      </c>
      <c r="R176" s="558"/>
      <c r="S176" s="607">
        <f t="shared" si="3"/>
        <v>-5078.76</v>
      </c>
    </row>
    <row r="177" spans="1:19" x14ac:dyDescent="0.2">
      <c r="A177" s="509" t="s">
        <v>285</v>
      </c>
      <c r="B177" s="533" t="s">
        <v>32</v>
      </c>
      <c r="C177" s="549"/>
      <c r="D177" s="558"/>
      <c r="E177" s="549"/>
      <c r="F177" s="561"/>
      <c r="G177" s="549"/>
      <c r="H177" s="562"/>
      <c r="I177" s="553"/>
      <c r="J177" s="558"/>
      <c r="K177" s="549"/>
      <c r="L177" s="558"/>
      <c r="M177" s="549"/>
      <c r="N177" s="558"/>
      <c r="O177" s="549"/>
      <c r="P177" s="562"/>
      <c r="Q177" s="549">
        <v>5078.76</v>
      </c>
      <c r="R177" s="558"/>
      <c r="S177" s="607">
        <f t="shared" si="3"/>
        <v>5078.76</v>
      </c>
    </row>
    <row r="178" spans="1:19" x14ac:dyDescent="0.2">
      <c r="A178" s="518" t="s">
        <v>286</v>
      </c>
      <c r="B178" s="534" t="s">
        <v>32</v>
      </c>
      <c r="C178" s="549"/>
      <c r="D178" s="558"/>
      <c r="E178" s="549"/>
      <c r="F178" s="561">
        <v>-1858750</v>
      </c>
      <c r="G178" s="549"/>
      <c r="H178" s="562"/>
      <c r="I178" s="553"/>
      <c r="J178" s="558"/>
      <c r="K178" s="549"/>
      <c r="L178" s="558"/>
      <c r="M178" s="549"/>
      <c r="N178" s="558"/>
      <c r="O178" s="549"/>
      <c r="P178" s="573"/>
      <c r="Q178" s="549"/>
      <c r="R178" s="558"/>
      <c r="S178" s="607">
        <f t="shared" si="3"/>
        <v>-1858750</v>
      </c>
    </row>
    <row r="179" spans="1:19" x14ac:dyDescent="0.2">
      <c r="A179" s="518" t="s">
        <v>287</v>
      </c>
      <c r="B179" s="534" t="s">
        <v>31</v>
      </c>
      <c r="C179" s="549"/>
      <c r="D179" s="558"/>
      <c r="E179" s="549"/>
      <c r="F179" s="561">
        <v>857876</v>
      </c>
      <c r="G179" s="549"/>
      <c r="H179" s="562"/>
      <c r="I179" s="553"/>
      <c r="J179" s="558"/>
      <c r="K179" s="549"/>
      <c r="L179" s="558"/>
      <c r="M179" s="549"/>
      <c r="N179" s="558"/>
      <c r="O179" s="549"/>
      <c r="P179" s="558"/>
      <c r="Q179" s="549"/>
      <c r="R179" s="558"/>
      <c r="S179" s="607">
        <f t="shared" si="3"/>
        <v>857876</v>
      </c>
    </row>
    <row r="180" spans="1:19" x14ac:dyDescent="0.2">
      <c r="A180" s="518" t="s">
        <v>288</v>
      </c>
      <c r="B180" s="533" t="s">
        <v>31</v>
      </c>
      <c r="C180" s="549"/>
      <c r="D180" s="558"/>
      <c r="E180" s="553"/>
      <c r="F180" s="561">
        <v>387838</v>
      </c>
      <c r="G180" s="549"/>
      <c r="H180" s="562"/>
      <c r="I180" s="552"/>
      <c r="J180" s="558"/>
      <c r="K180" s="549"/>
      <c r="L180" s="558"/>
      <c r="M180" s="549"/>
      <c r="N180" s="558"/>
      <c r="O180" s="549"/>
      <c r="P180" s="558"/>
      <c r="Q180" s="570"/>
      <c r="R180" s="576"/>
      <c r="S180" s="607">
        <f t="shared" si="3"/>
        <v>387838</v>
      </c>
    </row>
    <row r="181" spans="1:19" x14ac:dyDescent="0.2">
      <c r="A181" s="518" t="s">
        <v>289</v>
      </c>
      <c r="B181" s="533" t="s">
        <v>31</v>
      </c>
      <c r="C181" s="549"/>
      <c r="D181" s="558"/>
      <c r="E181" s="549"/>
      <c r="F181" s="561">
        <v>613036</v>
      </c>
      <c r="G181" s="549"/>
      <c r="H181" s="562"/>
      <c r="I181" s="552"/>
      <c r="J181" s="558"/>
      <c r="K181" s="549"/>
      <c r="L181" s="558"/>
      <c r="M181" s="549"/>
      <c r="N181" s="558"/>
      <c r="O181" s="549"/>
      <c r="P181" s="558"/>
      <c r="Q181" s="570"/>
      <c r="R181" s="576"/>
      <c r="S181" s="607">
        <f t="shared" si="3"/>
        <v>613036</v>
      </c>
    </row>
    <row r="182" spans="1:19" x14ac:dyDescent="0.2">
      <c r="A182" s="519" t="s">
        <v>307</v>
      </c>
      <c r="B182" s="533" t="s">
        <v>31</v>
      </c>
      <c r="C182" s="549"/>
      <c r="D182" s="558"/>
      <c r="E182" s="553"/>
      <c r="F182" s="561"/>
      <c r="G182" s="549"/>
      <c r="H182" s="562"/>
      <c r="I182" s="552"/>
      <c r="J182" s="558"/>
      <c r="K182" s="549"/>
      <c r="L182" s="558"/>
      <c r="M182" s="549"/>
      <c r="N182" s="558"/>
      <c r="O182" s="549"/>
      <c r="P182" s="558"/>
      <c r="Q182" s="570"/>
      <c r="R182" s="576">
        <v>-100000</v>
      </c>
      <c r="S182" s="607">
        <f t="shared" si="3"/>
        <v>-100000</v>
      </c>
    </row>
    <row r="183" spans="1:19" x14ac:dyDescent="0.2">
      <c r="A183" s="519" t="s">
        <v>308</v>
      </c>
      <c r="B183" s="534" t="s">
        <v>37</v>
      </c>
      <c r="C183" s="549"/>
      <c r="D183" s="558"/>
      <c r="E183" s="549"/>
      <c r="F183" s="561"/>
      <c r="G183" s="549"/>
      <c r="H183" s="573"/>
      <c r="I183" s="552"/>
      <c r="J183" s="558"/>
      <c r="K183" s="549"/>
      <c r="L183" s="558"/>
      <c r="M183" s="549"/>
      <c r="N183" s="558"/>
      <c r="O183" s="549"/>
      <c r="P183" s="558"/>
      <c r="Q183" s="570"/>
      <c r="R183" s="576">
        <v>100000</v>
      </c>
      <c r="S183" s="607">
        <f t="shared" si="3"/>
        <v>100000</v>
      </c>
    </row>
    <row r="184" spans="1:19" x14ac:dyDescent="0.2">
      <c r="A184" s="520" t="s">
        <v>309</v>
      </c>
      <c r="B184" s="532" t="s">
        <v>31</v>
      </c>
      <c r="C184" s="549"/>
      <c r="D184" s="558"/>
      <c r="E184" s="549"/>
      <c r="F184" s="561"/>
      <c r="G184" s="549"/>
      <c r="H184" s="558">
        <v>164504</v>
      </c>
      <c r="I184" s="552"/>
      <c r="J184" s="558"/>
      <c r="K184" s="549"/>
      <c r="L184" s="558"/>
      <c r="M184" s="549"/>
      <c r="N184" s="558"/>
      <c r="O184" s="549"/>
      <c r="P184" s="558">
        <v>-164504</v>
      </c>
      <c r="Q184" s="570"/>
      <c r="R184" s="576"/>
      <c r="S184" s="607">
        <f t="shared" si="3"/>
        <v>0</v>
      </c>
    </row>
    <row r="185" spans="1:19" x14ac:dyDescent="0.2">
      <c r="A185" s="518" t="s">
        <v>265</v>
      </c>
      <c r="B185" s="534" t="s">
        <v>32</v>
      </c>
      <c r="C185" s="549">
        <v>-350000</v>
      </c>
      <c r="D185" s="558"/>
      <c r="E185" s="549"/>
      <c r="F185" s="561"/>
      <c r="G185" s="549"/>
      <c r="H185" s="561"/>
      <c r="I185" s="552"/>
      <c r="J185" s="558"/>
      <c r="K185" s="549"/>
      <c r="L185" s="558"/>
      <c r="M185" s="549"/>
      <c r="N185" s="558"/>
      <c r="O185" s="549"/>
      <c r="P185" s="558"/>
      <c r="Q185" s="570"/>
      <c r="R185" s="576"/>
      <c r="S185" s="607">
        <f t="shared" si="3"/>
        <v>-350000</v>
      </c>
    </row>
    <row r="186" spans="1:19" x14ac:dyDescent="0.2">
      <c r="A186" s="518" t="s">
        <v>266</v>
      </c>
      <c r="B186" s="534" t="s">
        <v>31</v>
      </c>
      <c r="C186" s="549">
        <v>259000</v>
      </c>
      <c r="D186" s="558"/>
      <c r="E186" s="549"/>
      <c r="F186" s="561"/>
      <c r="G186" s="549"/>
      <c r="H186" s="561"/>
      <c r="I186" s="552"/>
      <c r="J186" s="558"/>
      <c r="K186" s="549"/>
      <c r="L186" s="558"/>
      <c r="M186" s="595"/>
      <c r="N186" s="596"/>
      <c r="O186" s="549"/>
      <c r="P186" s="596"/>
      <c r="Q186" s="570"/>
      <c r="R186" s="576"/>
      <c r="S186" s="607">
        <f t="shared" ref="S186:S209" si="4">SUM(C186:R186)</f>
        <v>259000</v>
      </c>
    </row>
    <row r="187" spans="1:19" x14ac:dyDescent="0.2">
      <c r="A187" s="519" t="s">
        <v>267</v>
      </c>
      <c r="B187" s="534" t="s">
        <v>31</v>
      </c>
      <c r="C187" s="549">
        <v>91000</v>
      </c>
      <c r="D187" s="558"/>
      <c r="E187" s="549"/>
      <c r="F187" s="561"/>
      <c r="G187" s="549"/>
      <c r="H187" s="561"/>
      <c r="I187" s="552"/>
      <c r="J187" s="558"/>
      <c r="K187" s="549"/>
      <c r="L187" s="558"/>
      <c r="M187" s="595"/>
      <c r="N187" s="596"/>
      <c r="O187" s="595"/>
      <c r="P187" s="596"/>
      <c r="Q187" s="570"/>
      <c r="R187" s="576"/>
      <c r="S187" s="607">
        <f t="shared" si="4"/>
        <v>91000</v>
      </c>
    </row>
    <row r="188" spans="1:19" x14ac:dyDescent="0.2">
      <c r="A188" s="520" t="s">
        <v>317</v>
      </c>
      <c r="B188" s="537" t="s">
        <v>32</v>
      </c>
      <c r="C188" s="549">
        <v>21845</v>
      </c>
      <c r="D188" s="558">
        <v>8000</v>
      </c>
      <c r="E188" s="549">
        <v>11000</v>
      </c>
      <c r="F188" s="561">
        <v>29688</v>
      </c>
      <c r="G188" s="549">
        <v>4000</v>
      </c>
      <c r="H188" s="561">
        <v>13000</v>
      </c>
      <c r="I188" s="552"/>
      <c r="J188" s="558">
        <v>5000</v>
      </c>
      <c r="K188" s="549"/>
      <c r="L188" s="558"/>
      <c r="M188" s="549">
        <v>2000</v>
      </c>
      <c r="N188" s="596"/>
      <c r="O188" s="595"/>
      <c r="P188" s="558"/>
      <c r="Q188" s="570">
        <v>-94533</v>
      </c>
      <c r="R188" s="576"/>
      <c r="S188" s="607">
        <f t="shared" si="4"/>
        <v>0</v>
      </c>
    </row>
    <row r="189" spans="1:19" x14ac:dyDescent="0.2">
      <c r="A189" s="520" t="s">
        <v>318</v>
      </c>
      <c r="B189" s="537" t="s">
        <v>32</v>
      </c>
      <c r="C189" s="549"/>
      <c r="D189" s="558">
        <v>6000</v>
      </c>
      <c r="E189" s="549">
        <f>7000+6650</f>
        <v>13650</v>
      </c>
      <c r="F189" s="558">
        <f>6000+4800+7000+7000</f>
        <v>24800</v>
      </c>
      <c r="G189" s="549">
        <v>7000</v>
      </c>
      <c r="H189" s="561"/>
      <c r="I189" s="552"/>
      <c r="J189" s="558">
        <f>7000</f>
        <v>7000</v>
      </c>
      <c r="K189" s="549"/>
      <c r="L189" s="558"/>
      <c r="M189" s="595"/>
      <c r="N189" s="596"/>
      <c r="O189" s="595"/>
      <c r="P189" s="558"/>
      <c r="Q189" s="570">
        <v>-58450</v>
      </c>
      <c r="R189" s="576"/>
      <c r="S189" s="607">
        <f t="shared" si="4"/>
        <v>0</v>
      </c>
    </row>
    <row r="190" spans="1:19" x14ac:dyDescent="0.2">
      <c r="A190" s="518" t="s">
        <v>321</v>
      </c>
      <c r="B190" s="537" t="s">
        <v>32</v>
      </c>
      <c r="C190" s="549"/>
      <c r="D190" s="558"/>
      <c r="E190" s="549">
        <v>-548486</v>
      </c>
      <c r="F190" s="558"/>
      <c r="G190" s="549"/>
      <c r="H190" s="561"/>
      <c r="I190" s="552"/>
      <c r="J190" s="558"/>
      <c r="K190" s="549"/>
      <c r="L190" s="558"/>
      <c r="M190" s="595"/>
      <c r="N190" s="596"/>
      <c r="O190" s="595"/>
      <c r="P190" s="558"/>
      <c r="Q190" s="570"/>
      <c r="R190" s="576"/>
      <c r="S190" s="607">
        <f t="shared" si="4"/>
        <v>-548486</v>
      </c>
    </row>
    <row r="191" spans="1:19" x14ac:dyDescent="0.2">
      <c r="A191" s="518" t="s">
        <v>322</v>
      </c>
      <c r="B191" s="538" t="s">
        <v>31</v>
      </c>
      <c r="C191" s="549"/>
      <c r="D191" s="558"/>
      <c r="E191" s="549">
        <v>548486</v>
      </c>
      <c r="F191" s="558"/>
      <c r="G191" s="549"/>
      <c r="H191" s="558"/>
      <c r="I191" s="552"/>
      <c r="J191" s="562"/>
      <c r="K191" s="549"/>
      <c r="L191" s="558"/>
      <c r="M191" s="549"/>
      <c r="N191" s="558"/>
      <c r="O191" s="549"/>
      <c r="P191" s="558"/>
      <c r="Q191" s="549"/>
      <c r="R191" s="558"/>
      <c r="S191" s="607">
        <f t="shared" si="4"/>
        <v>548486</v>
      </c>
    </row>
    <row r="192" spans="1:19" x14ac:dyDescent="0.2">
      <c r="A192" s="520" t="s">
        <v>319</v>
      </c>
      <c r="B192" s="538" t="s">
        <v>31</v>
      </c>
      <c r="C192" s="549"/>
      <c r="D192" s="558"/>
      <c r="E192" s="549"/>
      <c r="F192" s="558"/>
      <c r="G192" s="549"/>
      <c r="H192" s="558"/>
      <c r="I192" s="552"/>
      <c r="J192" s="562"/>
      <c r="K192" s="580"/>
      <c r="L192" s="558"/>
      <c r="M192" s="549"/>
      <c r="N192" s="558"/>
      <c r="O192" s="549"/>
      <c r="P192" s="558">
        <v>-669854</v>
      </c>
      <c r="Q192" s="549"/>
      <c r="R192" s="558">
        <v>669854</v>
      </c>
      <c r="S192" s="607">
        <f t="shared" si="4"/>
        <v>0</v>
      </c>
    </row>
    <row r="193" spans="1:19" x14ac:dyDescent="0.2">
      <c r="A193" s="520" t="s">
        <v>323</v>
      </c>
      <c r="B193" s="537" t="s">
        <v>31</v>
      </c>
      <c r="C193" s="549"/>
      <c r="D193" s="558"/>
      <c r="E193" s="549"/>
      <c r="F193" s="558"/>
      <c r="G193" s="549"/>
      <c r="H193" s="558"/>
      <c r="I193" s="552"/>
      <c r="J193" s="558"/>
      <c r="K193" s="549"/>
      <c r="L193" s="558"/>
      <c r="M193" s="549"/>
      <c r="N193" s="558"/>
      <c r="O193" s="549">
        <v>2000</v>
      </c>
      <c r="P193" s="558">
        <v>-2000</v>
      </c>
      <c r="Q193" s="549"/>
      <c r="R193" s="558"/>
      <c r="S193" s="607">
        <f t="shared" si="4"/>
        <v>0</v>
      </c>
    </row>
    <row r="194" spans="1:19" x14ac:dyDescent="0.2">
      <c r="A194" s="520" t="s">
        <v>324</v>
      </c>
      <c r="B194" s="537" t="s">
        <v>31</v>
      </c>
      <c r="C194" s="549"/>
      <c r="D194" s="558"/>
      <c r="E194" s="549"/>
      <c r="F194" s="558"/>
      <c r="G194" s="549"/>
      <c r="H194" s="558"/>
      <c r="I194" s="552"/>
      <c r="J194" s="558"/>
      <c r="K194" s="549"/>
      <c r="L194" s="558"/>
      <c r="M194" s="549"/>
      <c r="N194" s="558"/>
      <c r="O194" s="549">
        <v>632.66999999999996</v>
      </c>
      <c r="P194" s="558">
        <v>-632.66999999999996</v>
      </c>
      <c r="Q194" s="549"/>
      <c r="R194" s="558"/>
      <c r="S194" s="607">
        <f t="shared" si="4"/>
        <v>0</v>
      </c>
    </row>
    <row r="195" spans="1:19" x14ac:dyDescent="0.2">
      <c r="A195" s="520" t="s">
        <v>326</v>
      </c>
      <c r="B195" s="537" t="s">
        <v>31</v>
      </c>
      <c r="C195" s="549"/>
      <c r="D195" s="558"/>
      <c r="E195" s="549"/>
      <c r="F195" s="558"/>
      <c r="G195" s="549"/>
      <c r="H195" s="558"/>
      <c r="I195" s="552"/>
      <c r="J195" s="558"/>
      <c r="K195" s="549"/>
      <c r="L195" s="558"/>
      <c r="M195" s="549"/>
      <c r="N195" s="558"/>
      <c r="O195" s="549"/>
      <c r="P195" s="558"/>
      <c r="Q195" s="549"/>
      <c r="R195" s="558">
        <v>-4847.8999999999996</v>
      </c>
      <c r="S195" s="607">
        <f t="shared" si="4"/>
        <v>-4847.8999999999996</v>
      </c>
    </row>
    <row r="196" spans="1:19" x14ac:dyDescent="0.2">
      <c r="A196" s="520" t="s">
        <v>327</v>
      </c>
      <c r="B196" s="537" t="s">
        <v>32</v>
      </c>
      <c r="C196" s="549"/>
      <c r="D196" s="558"/>
      <c r="E196" s="549"/>
      <c r="F196" s="558"/>
      <c r="G196" s="549"/>
      <c r="H196" s="558"/>
      <c r="I196" s="552"/>
      <c r="J196" s="558"/>
      <c r="K196" s="549"/>
      <c r="L196" s="558"/>
      <c r="M196" s="549"/>
      <c r="N196" s="558"/>
      <c r="O196" s="549"/>
      <c r="P196" s="558"/>
      <c r="Q196" s="549"/>
      <c r="R196" s="558">
        <v>3068.25</v>
      </c>
      <c r="S196" s="607">
        <f t="shared" si="4"/>
        <v>3068.25</v>
      </c>
    </row>
    <row r="197" spans="1:19" x14ac:dyDescent="0.2">
      <c r="A197" s="520" t="s">
        <v>328</v>
      </c>
      <c r="B197" s="532" t="s">
        <v>37</v>
      </c>
      <c r="C197" s="549"/>
      <c r="D197" s="558"/>
      <c r="E197" s="549"/>
      <c r="F197" s="558"/>
      <c r="G197" s="549"/>
      <c r="H197" s="558"/>
      <c r="I197" s="552"/>
      <c r="J197" s="558"/>
      <c r="K197" s="585"/>
      <c r="L197" s="593"/>
      <c r="M197" s="549"/>
      <c r="N197" s="558"/>
      <c r="O197" s="549"/>
      <c r="P197" s="558"/>
      <c r="Q197" s="549"/>
      <c r="R197" s="558">
        <v>1779.65</v>
      </c>
      <c r="S197" s="607">
        <f t="shared" si="4"/>
        <v>1779.65</v>
      </c>
    </row>
    <row r="198" spans="1:19" x14ac:dyDescent="0.2">
      <c r="A198" s="520" t="s">
        <v>325</v>
      </c>
      <c r="B198" s="532" t="s">
        <v>31</v>
      </c>
      <c r="C198" s="549">
        <v>4321.54</v>
      </c>
      <c r="D198" s="558">
        <v>792.66</v>
      </c>
      <c r="E198" s="549">
        <v>3805.32</v>
      </c>
      <c r="F198" s="558">
        <v>4638.62</v>
      </c>
      <c r="G198" s="549">
        <v>1425.82</v>
      </c>
      <c r="H198" s="558">
        <v>3324.58</v>
      </c>
      <c r="I198" s="552"/>
      <c r="J198" s="558">
        <v>764.34</v>
      </c>
      <c r="K198" s="549"/>
      <c r="L198" s="558"/>
      <c r="M198" s="549"/>
      <c r="N198" s="558"/>
      <c r="O198" s="549">
        <v>2625.09</v>
      </c>
      <c r="P198" s="558"/>
      <c r="Q198" s="549"/>
      <c r="R198" s="558">
        <f>-26545.87+3068.25+1779.65</f>
        <v>-21697.969999999998</v>
      </c>
      <c r="S198" s="607">
        <f t="shared" si="4"/>
        <v>0</v>
      </c>
    </row>
    <row r="199" spans="1:19" x14ac:dyDescent="0.2">
      <c r="A199" s="520" t="s">
        <v>325</v>
      </c>
      <c r="B199" s="532" t="s">
        <v>32</v>
      </c>
      <c r="C199" s="549">
        <v>275</v>
      </c>
      <c r="D199" s="558"/>
      <c r="E199" s="549">
        <v>1784.14</v>
      </c>
      <c r="F199" s="558">
        <v>600.98</v>
      </c>
      <c r="G199" s="549"/>
      <c r="H199" s="558">
        <v>238.43</v>
      </c>
      <c r="I199" s="552"/>
      <c r="J199" s="558">
        <v>169.7</v>
      </c>
      <c r="K199" s="549"/>
      <c r="L199" s="558"/>
      <c r="M199" s="549"/>
      <c r="N199" s="558"/>
      <c r="O199" s="549"/>
      <c r="P199" s="558"/>
      <c r="Q199" s="549"/>
      <c r="R199" s="558">
        <v>-3068.25</v>
      </c>
      <c r="S199" s="607">
        <f t="shared" si="4"/>
        <v>0</v>
      </c>
    </row>
    <row r="200" spans="1:19" x14ac:dyDescent="0.2">
      <c r="A200" s="520" t="s">
        <v>325</v>
      </c>
      <c r="B200" s="532" t="s">
        <v>37</v>
      </c>
      <c r="C200" s="549"/>
      <c r="D200" s="558"/>
      <c r="E200" s="549"/>
      <c r="F200" s="558"/>
      <c r="G200" s="549"/>
      <c r="H200" s="558">
        <v>265.87</v>
      </c>
      <c r="I200" s="552"/>
      <c r="J200" s="558"/>
      <c r="K200" s="549">
        <v>1513.78</v>
      </c>
      <c r="L200" s="558"/>
      <c r="M200" s="549"/>
      <c r="N200" s="558"/>
      <c r="O200" s="549"/>
      <c r="P200" s="558"/>
      <c r="Q200" s="549"/>
      <c r="R200" s="558">
        <v>-1779.65</v>
      </c>
      <c r="S200" s="607">
        <f t="shared" si="4"/>
        <v>0</v>
      </c>
    </row>
    <row r="201" spans="1:19" x14ac:dyDescent="0.2">
      <c r="A201" s="520" t="s">
        <v>329</v>
      </c>
      <c r="B201" s="537" t="s">
        <v>31</v>
      </c>
      <c r="C201" s="549"/>
      <c r="D201" s="558"/>
      <c r="E201" s="549"/>
      <c r="F201" s="558"/>
      <c r="G201" s="549"/>
      <c r="H201" s="558"/>
      <c r="I201" s="552"/>
      <c r="J201" s="558"/>
      <c r="K201" s="549"/>
      <c r="L201" s="558"/>
      <c r="M201" s="549"/>
      <c r="N201" s="558"/>
      <c r="O201" s="549"/>
      <c r="P201" s="558"/>
      <c r="Q201" s="549"/>
      <c r="R201" s="558">
        <f>-156365.43-412661.16</f>
        <v>-569026.59</v>
      </c>
      <c r="S201" s="607">
        <f t="shared" si="4"/>
        <v>-569026.59</v>
      </c>
    </row>
    <row r="202" spans="1:19" x14ac:dyDescent="0.2">
      <c r="A202" s="520" t="s">
        <v>330</v>
      </c>
      <c r="B202" s="537" t="s">
        <v>32</v>
      </c>
      <c r="C202" s="549"/>
      <c r="D202" s="558"/>
      <c r="E202" s="549"/>
      <c r="F202" s="558"/>
      <c r="G202" s="549"/>
      <c r="H202" s="558"/>
      <c r="I202" s="552"/>
      <c r="J202" s="558"/>
      <c r="K202" s="549"/>
      <c r="L202" s="558"/>
      <c r="M202" s="549"/>
      <c r="N202" s="558"/>
      <c r="O202" s="549"/>
      <c r="P202" s="558"/>
      <c r="Q202" s="549"/>
      <c r="R202" s="558">
        <f>156365.43</f>
        <v>156365.43</v>
      </c>
      <c r="S202" s="607">
        <f t="shared" si="4"/>
        <v>156365.43</v>
      </c>
    </row>
    <row r="203" spans="1:19" x14ac:dyDescent="0.2">
      <c r="A203" s="520" t="s">
        <v>331</v>
      </c>
      <c r="B203" s="532" t="s">
        <v>37</v>
      </c>
      <c r="C203" s="549"/>
      <c r="D203" s="558"/>
      <c r="E203" s="549"/>
      <c r="F203" s="558"/>
      <c r="G203" s="549"/>
      <c r="H203" s="558"/>
      <c r="I203" s="552"/>
      <c r="J203" s="558"/>
      <c r="K203" s="549"/>
      <c r="L203" s="558"/>
      <c r="M203" s="549"/>
      <c r="N203" s="558"/>
      <c r="O203" s="549"/>
      <c r="P203" s="558"/>
      <c r="Q203" s="549"/>
      <c r="R203" s="558">
        <f>412661.16</f>
        <v>412661.16</v>
      </c>
      <c r="S203" s="607">
        <f t="shared" si="4"/>
        <v>412661.16</v>
      </c>
    </row>
    <row r="204" spans="1:19" x14ac:dyDescent="0.2">
      <c r="A204" s="520" t="s">
        <v>332</v>
      </c>
      <c r="B204" s="532" t="s">
        <v>31</v>
      </c>
      <c r="C204" s="549">
        <f>24175.66+58000</f>
        <v>82175.66</v>
      </c>
      <c r="D204" s="558">
        <v>57587.9</v>
      </c>
      <c r="E204" s="549"/>
      <c r="F204" s="558">
        <v>97127.31</v>
      </c>
      <c r="G204" s="549">
        <v>42753.97</v>
      </c>
      <c r="H204" s="558">
        <v>1399.37</v>
      </c>
      <c r="I204" s="552"/>
      <c r="J204" s="558">
        <v>36959.26</v>
      </c>
      <c r="K204" s="549"/>
      <c r="L204" s="558"/>
      <c r="M204" s="549">
        <v>19085.09</v>
      </c>
      <c r="N204" s="558"/>
      <c r="O204" s="549"/>
      <c r="P204" s="558"/>
      <c r="Q204" s="549"/>
      <c r="R204" s="558">
        <f>-279088.56-58000</f>
        <v>-337088.56</v>
      </c>
      <c r="S204" s="607">
        <f t="shared" si="4"/>
        <v>0</v>
      </c>
    </row>
    <row r="205" spans="1:19" x14ac:dyDescent="0.2">
      <c r="A205" s="520" t="s">
        <v>332</v>
      </c>
      <c r="B205" s="532" t="s">
        <v>32</v>
      </c>
      <c r="C205" s="549"/>
      <c r="D205" s="558"/>
      <c r="E205" s="549">
        <v>156365.43</v>
      </c>
      <c r="F205" s="558"/>
      <c r="G205" s="549"/>
      <c r="H205" s="558"/>
      <c r="I205" s="552"/>
      <c r="J205" s="558"/>
      <c r="K205" s="549"/>
      <c r="L205" s="558"/>
      <c r="M205" s="549"/>
      <c r="N205" s="558"/>
      <c r="O205" s="549"/>
      <c r="P205" s="558"/>
      <c r="Q205" s="549"/>
      <c r="R205" s="558">
        <f>-214365.43+58000</f>
        <v>-156365.43</v>
      </c>
      <c r="S205" s="607">
        <f t="shared" si="4"/>
        <v>0</v>
      </c>
    </row>
    <row r="206" spans="1:19" x14ac:dyDescent="0.2">
      <c r="A206" s="520" t="s">
        <v>332</v>
      </c>
      <c r="B206" s="532" t="s">
        <v>37</v>
      </c>
      <c r="C206" s="549"/>
      <c r="D206" s="558"/>
      <c r="E206" s="549"/>
      <c r="F206" s="558"/>
      <c r="G206" s="549"/>
      <c r="H206" s="558"/>
      <c r="I206" s="552"/>
      <c r="J206" s="558"/>
      <c r="K206" s="549">
        <v>412661.16</v>
      </c>
      <c r="L206" s="558"/>
      <c r="M206" s="549"/>
      <c r="N206" s="558"/>
      <c r="O206" s="549"/>
      <c r="P206" s="558"/>
      <c r="Q206" s="549"/>
      <c r="R206" s="558">
        <v>-412661.16</v>
      </c>
      <c r="S206" s="607">
        <f t="shared" si="4"/>
        <v>0</v>
      </c>
    </row>
    <row r="207" spans="1:19" x14ac:dyDescent="0.2">
      <c r="A207" s="520" t="s">
        <v>333</v>
      </c>
      <c r="B207" s="532" t="s">
        <v>31</v>
      </c>
      <c r="C207" s="549">
        <v>20266</v>
      </c>
      <c r="D207" s="558">
        <v>7455</v>
      </c>
      <c r="E207" s="549">
        <v>20554</v>
      </c>
      <c r="F207" s="558">
        <v>18520</v>
      </c>
      <c r="G207" s="549">
        <v>8635</v>
      </c>
      <c r="H207" s="558">
        <v>14567</v>
      </c>
      <c r="I207" s="552">
        <v>188</v>
      </c>
      <c r="J207" s="558">
        <v>9112</v>
      </c>
      <c r="K207" s="549"/>
      <c r="L207" s="558"/>
      <c r="M207" s="549">
        <v>1525</v>
      </c>
      <c r="N207" s="558"/>
      <c r="O207" s="549">
        <v>12461</v>
      </c>
      <c r="P207" s="558"/>
      <c r="Q207" s="549"/>
      <c r="R207" s="558">
        <v>-113283</v>
      </c>
      <c r="S207" s="607">
        <f t="shared" si="4"/>
        <v>0</v>
      </c>
    </row>
    <row r="208" spans="1:19" x14ac:dyDescent="0.2">
      <c r="A208" s="520" t="s">
        <v>334</v>
      </c>
      <c r="B208" s="532" t="s">
        <v>32</v>
      </c>
      <c r="C208" s="549">
        <v>24145</v>
      </c>
      <c r="D208" s="558">
        <v>9070</v>
      </c>
      <c r="E208" s="549">
        <v>33497</v>
      </c>
      <c r="F208" s="558">
        <v>30554</v>
      </c>
      <c r="G208" s="549">
        <v>6579</v>
      </c>
      <c r="H208" s="558">
        <v>12996</v>
      </c>
      <c r="I208" s="552">
        <v>782</v>
      </c>
      <c r="J208" s="558">
        <v>3826</v>
      </c>
      <c r="K208" s="549"/>
      <c r="L208" s="558"/>
      <c r="M208" s="549">
        <v>3190</v>
      </c>
      <c r="N208" s="558"/>
      <c r="O208" s="549">
        <v>15405</v>
      </c>
      <c r="P208" s="558"/>
      <c r="Q208" s="549"/>
      <c r="R208" s="558">
        <v>-140044</v>
      </c>
      <c r="S208" s="607">
        <f t="shared" si="4"/>
        <v>0</v>
      </c>
    </row>
    <row r="209" spans="1:19" x14ac:dyDescent="0.2">
      <c r="A209" s="521"/>
      <c r="B209" s="539"/>
      <c r="C209" s="554"/>
      <c r="D209" s="563"/>
      <c r="E209" s="554"/>
      <c r="F209" s="563"/>
      <c r="G209" s="554"/>
      <c r="H209" s="563"/>
      <c r="I209" s="574"/>
      <c r="J209" s="563"/>
      <c r="K209" s="554"/>
      <c r="L209" s="563"/>
      <c r="M209" s="554"/>
      <c r="N209" s="563"/>
      <c r="O209" s="554"/>
      <c r="P209" s="563"/>
      <c r="Q209" s="554"/>
      <c r="R209" s="563"/>
      <c r="S209" s="94">
        <f t="shared" si="4"/>
        <v>0</v>
      </c>
    </row>
    <row r="210" spans="1:19" ht="12.75" thickBot="1" x14ac:dyDescent="0.25">
      <c r="A210" s="33" t="s">
        <v>68</v>
      </c>
      <c r="B210" s="34"/>
      <c r="C210" s="555">
        <f>SUM(C7:C209)</f>
        <v>1545664.89</v>
      </c>
      <c r="D210" s="35">
        <f t="shared" ref="D210:R210" si="5">SUM(D7:D209)</f>
        <v>1788590.7799999998</v>
      </c>
      <c r="E210" s="555">
        <f t="shared" si="5"/>
        <v>2547791.0500000003</v>
      </c>
      <c r="F210" s="35">
        <f t="shared" si="5"/>
        <v>2881719.9600000004</v>
      </c>
      <c r="G210" s="555">
        <f t="shared" si="5"/>
        <v>294345.53000000003</v>
      </c>
      <c r="H210" s="35">
        <f t="shared" si="5"/>
        <v>1265946.6100000003</v>
      </c>
      <c r="I210" s="555">
        <f t="shared" si="5"/>
        <v>970</v>
      </c>
      <c r="J210" s="35">
        <f t="shared" si="5"/>
        <v>284227.98</v>
      </c>
      <c r="K210" s="555">
        <f t="shared" si="5"/>
        <v>1263701.1299999999</v>
      </c>
      <c r="L210" s="35">
        <f t="shared" si="5"/>
        <v>63137</v>
      </c>
      <c r="M210" s="555">
        <f t="shared" si="5"/>
        <v>113368.54000000001</v>
      </c>
      <c r="N210" s="35">
        <f t="shared" si="5"/>
        <v>0</v>
      </c>
      <c r="O210" s="555">
        <f t="shared" si="5"/>
        <v>417505.92000000004</v>
      </c>
      <c r="P210" s="35">
        <f t="shared" si="5"/>
        <v>-520375.67</v>
      </c>
      <c r="Q210" s="555">
        <f t="shared" si="5"/>
        <v>233447.19000000006</v>
      </c>
      <c r="R210" s="35">
        <f t="shared" si="5"/>
        <v>614520.98</v>
      </c>
      <c r="S210" s="36">
        <f>SUM(C210:R210)</f>
        <v>12794561.889999999</v>
      </c>
    </row>
    <row r="211" spans="1:19" ht="12.75" thickBot="1" x14ac:dyDescent="0.25">
      <c r="A211" s="37" t="s">
        <v>69</v>
      </c>
      <c r="B211" s="38"/>
      <c r="C211" s="556">
        <f t="shared" ref="C211:R211" si="6">C210-C7-C8-C10-C11-C77-C78-C79</f>
        <v>901245.59999999986</v>
      </c>
      <c r="D211" s="39">
        <f t="shared" si="6"/>
        <v>794279.7799999998</v>
      </c>
      <c r="E211" s="556">
        <f t="shared" si="6"/>
        <v>957132.88000000035</v>
      </c>
      <c r="F211" s="39">
        <f t="shared" si="6"/>
        <v>1096053.6000000003</v>
      </c>
      <c r="G211" s="556">
        <f t="shared" si="6"/>
        <v>260035.53000000003</v>
      </c>
      <c r="H211" s="39">
        <f t="shared" si="6"/>
        <v>653636.54000000039</v>
      </c>
      <c r="I211" s="556">
        <f t="shared" si="6"/>
        <v>970</v>
      </c>
      <c r="J211" s="39">
        <f t="shared" si="6"/>
        <v>134265.97999999998</v>
      </c>
      <c r="K211" s="556">
        <f t="shared" si="6"/>
        <v>1263701.1299999999</v>
      </c>
      <c r="L211" s="39">
        <f t="shared" si="6"/>
        <v>63137</v>
      </c>
      <c r="M211" s="556">
        <f t="shared" si="6"/>
        <v>32013.540000000008</v>
      </c>
      <c r="N211" s="39">
        <f t="shared" si="6"/>
        <v>0</v>
      </c>
      <c r="O211" s="556">
        <f t="shared" si="6"/>
        <v>417505.92000000004</v>
      </c>
      <c r="P211" s="39">
        <f t="shared" si="6"/>
        <v>-520375.67</v>
      </c>
      <c r="Q211" s="556">
        <f t="shared" si="6"/>
        <v>233447.19000000006</v>
      </c>
      <c r="R211" s="39">
        <f t="shared" si="6"/>
        <v>614520.98</v>
      </c>
      <c r="S211" s="522">
        <f>SUM(S12:S85)</f>
        <v>6901570</v>
      </c>
    </row>
    <row r="212" spans="1:19" ht="12.75" thickBot="1" x14ac:dyDescent="0.25">
      <c r="A212" s="16" t="s">
        <v>338</v>
      </c>
      <c r="B212" s="17"/>
      <c r="C212" s="116">
        <f t="shared" ref="C212:S212" si="7">C4+C210</f>
        <v>14428103.890000001</v>
      </c>
      <c r="D212" s="40">
        <f t="shared" si="7"/>
        <v>6724619.7799999993</v>
      </c>
      <c r="E212" s="116">
        <f t="shared" si="7"/>
        <v>17041083.050000001</v>
      </c>
      <c r="F212" s="40">
        <f t="shared" si="7"/>
        <v>16392134.960000001</v>
      </c>
      <c r="G212" s="116">
        <f t="shared" si="7"/>
        <v>5025068.53</v>
      </c>
      <c r="H212" s="40">
        <f t="shared" si="7"/>
        <v>10659310.609999999</v>
      </c>
      <c r="I212" s="116">
        <f t="shared" si="7"/>
        <v>200435</v>
      </c>
      <c r="J212" s="40">
        <f t="shared" si="7"/>
        <v>4479169.9800000004</v>
      </c>
      <c r="K212" s="116">
        <f t="shared" si="7"/>
        <v>4709189.13</v>
      </c>
      <c r="L212" s="40">
        <f t="shared" si="7"/>
        <v>63137</v>
      </c>
      <c r="M212" s="116">
        <f t="shared" si="7"/>
        <v>1376520.54</v>
      </c>
      <c r="N212" s="40">
        <f t="shared" si="7"/>
        <v>0</v>
      </c>
      <c r="O212" s="116">
        <f t="shared" si="7"/>
        <v>4915062.92</v>
      </c>
      <c r="P212" s="40">
        <f t="shared" si="7"/>
        <v>1747259.33</v>
      </c>
      <c r="Q212" s="116">
        <f t="shared" si="7"/>
        <v>973947.19000000006</v>
      </c>
      <c r="R212" s="40">
        <f t="shared" si="7"/>
        <v>614520.98</v>
      </c>
      <c r="S212" s="42">
        <f t="shared" si="7"/>
        <v>89349562.890000001</v>
      </c>
    </row>
    <row r="213" spans="1:19" ht="12.75" thickBot="1" x14ac:dyDescent="0.25">
      <c r="A213" s="611" t="s">
        <v>337</v>
      </c>
      <c r="B213" s="612"/>
      <c r="C213" s="44">
        <f t="shared" ref="C213:S213" si="8">C4+C211</f>
        <v>13783684.6</v>
      </c>
      <c r="D213" s="43">
        <f t="shared" si="8"/>
        <v>5730308.7799999993</v>
      </c>
      <c r="E213" s="118">
        <f t="shared" si="8"/>
        <v>15450424.880000001</v>
      </c>
      <c r="F213" s="43">
        <f t="shared" si="8"/>
        <v>14606468.6</v>
      </c>
      <c r="G213" s="118">
        <f t="shared" si="8"/>
        <v>4990758.53</v>
      </c>
      <c r="H213" s="43">
        <f t="shared" si="8"/>
        <v>10047000.540000001</v>
      </c>
      <c r="I213" s="118">
        <f t="shared" si="8"/>
        <v>200435</v>
      </c>
      <c r="J213" s="43">
        <f t="shared" si="8"/>
        <v>4329207.9800000004</v>
      </c>
      <c r="K213" s="118">
        <f t="shared" si="8"/>
        <v>4709189.13</v>
      </c>
      <c r="L213" s="43">
        <f t="shared" si="8"/>
        <v>63137</v>
      </c>
      <c r="M213" s="118">
        <f t="shared" si="8"/>
        <v>1295165.54</v>
      </c>
      <c r="N213" s="43">
        <f t="shared" si="8"/>
        <v>0</v>
      </c>
      <c r="O213" s="118">
        <f t="shared" si="8"/>
        <v>4915062.92</v>
      </c>
      <c r="P213" s="43">
        <f t="shared" si="8"/>
        <v>1747259.33</v>
      </c>
      <c r="Q213" s="118">
        <f t="shared" si="8"/>
        <v>973947.19000000006</v>
      </c>
      <c r="R213" s="43">
        <f t="shared" si="8"/>
        <v>614520.98</v>
      </c>
      <c r="S213" s="45">
        <f t="shared" si="8"/>
        <v>83456571</v>
      </c>
    </row>
    <row r="214" spans="1:19" x14ac:dyDescent="0.2">
      <c r="A214" s="46"/>
      <c r="B214" s="47"/>
      <c r="C214" s="48">
        <f t="shared" ref="C214:S214" si="9">C210+C4</f>
        <v>14428103.890000001</v>
      </c>
      <c r="D214" s="48">
        <f t="shared" si="9"/>
        <v>6724619.7799999993</v>
      </c>
      <c r="E214" s="48">
        <f t="shared" si="9"/>
        <v>17041083.050000001</v>
      </c>
      <c r="F214" s="48">
        <f t="shared" si="9"/>
        <v>16392134.960000001</v>
      </c>
      <c r="G214" s="48">
        <f t="shared" si="9"/>
        <v>5025068.53</v>
      </c>
      <c r="H214" s="48">
        <f t="shared" si="9"/>
        <v>10659310.609999999</v>
      </c>
      <c r="I214" s="48">
        <f t="shared" si="9"/>
        <v>200435</v>
      </c>
      <c r="J214" s="48">
        <f t="shared" si="9"/>
        <v>4479169.9800000004</v>
      </c>
      <c r="K214" s="48">
        <f t="shared" si="9"/>
        <v>4709189.13</v>
      </c>
      <c r="L214" s="48">
        <f t="shared" si="9"/>
        <v>63137</v>
      </c>
      <c r="M214" s="48">
        <f t="shared" si="9"/>
        <v>1376520.54</v>
      </c>
      <c r="N214" s="48">
        <f t="shared" si="9"/>
        <v>0</v>
      </c>
      <c r="O214" s="48">
        <f t="shared" si="9"/>
        <v>4915062.92</v>
      </c>
      <c r="P214" s="48">
        <f t="shared" si="9"/>
        <v>1747259.33</v>
      </c>
      <c r="Q214" s="48">
        <f t="shared" si="9"/>
        <v>973947.19000000006</v>
      </c>
      <c r="R214" s="48">
        <f t="shared" si="9"/>
        <v>614520.98</v>
      </c>
      <c r="S214" s="48">
        <f t="shared" si="9"/>
        <v>89349562.890000001</v>
      </c>
    </row>
    <row r="215" spans="1:19" s="52" customFormat="1" x14ac:dyDescent="0.2">
      <c r="A215" s="49"/>
      <c r="B215" s="2"/>
      <c r="C215" s="50">
        <f t="shared" ref="C215:S215" si="10">C214-C212</f>
        <v>0</v>
      </c>
      <c r="D215" s="50">
        <f t="shared" si="10"/>
        <v>0</v>
      </c>
      <c r="E215" s="50">
        <f t="shared" si="10"/>
        <v>0</v>
      </c>
      <c r="F215" s="50">
        <f t="shared" si="10"/>
        <v>0</v>
      </c>
      <c r="G215" s="50">
        <f t="shared" si="10"/>
        <v>0</v>
      </c>
      <c r="H215" s="50">
        <f t="shared" ref="H215" si="11">H214-H212</f>
        <v>0</v>
      </c>
      <c r="I215" s="50">
        <f t="shared" si="10"/>
        <v>0</v>
      </c>
      <c r="J215" s="51">
        <f t="shared" si="10"/>
        <v>0</v>
      </c>
      <c r="K215" s="50">
        <f t="shared" si="10"/>
        <v>0</v>
      </c>
      <c r="L215" s="50">
        <f t="shared" si="10"/>
        <v>0</v>
      </c>
      <c r="M215" s="50">
        <f t="shared" si="10"/>
        <v>0</v>
      </c>
      <c r="N215" s="50">
        <f t="shared" si="10"/>
        <v>0</v>
      </c>
      <c r="O215" s="50">
        <f t="shared" si="10"/>
        <v>0</v>
      </c>
      <c r="P215" s="50">
        <f t="shared" si="10"/>
        <v>0</v>
      </c>
      <c r="Q215" s="50">
        <f t="shared" si="10"/>
        <v>0</v>
      </c>
      <c r="R215" s="50">
        <f t="shared" si="10"/>
        <v>0</v>
      </c>
      <c r="S215" s="50">
        <f t="shared" si="10"/>
        <v>0</v>
      </c>
    </row>
    <row r="216" spans="1:19" x14ac:dyDescent="0.2">
      <c r="A216" s="53"/>
      <c r="B216" s="8"/>
      <c r="C216" s="4">
        <f>C212-súhrnná!B7</f>
        <v>0</v>
      </c>
      <c r="D216" s="4">
        <f>D212-súhrnná!C7</f>
        <v>0</v>
      </c>
      <c r="E216" s="4">
        <f>E212-súhrnná!D7</f>
        <v>0</v>
      </c>
      <c r="F216" s="4">
        <f>F212-súhrnná!E7</f>
        <v>0</v>
      </c>
      <c r="G216" s="4">
        <f>G212-súhrnná!F7</f>
        <v>0</v>
      </c>
      <c r="H216" s="4">
        <f>H212-súhrnná!G7</f>
        <v>0</v>
      </c>
      <c r="I216" s="4">
        <f>I212-súhrnná!H7</f>
        <v>0</v>
      </c>
      <c r="J216" s="4">
        <f>J212-súhrnná!I7</f>
        <v>0</v>
      </c>
      <c r="K216" s="4">
        <f>K212-súhrnná!M7</f>
        <v>0</v>
      </c>
      <c r="L216" s="4">
        <f>L212-súhrnná!N7</f>
        <v>0</v>
      </c>
      <c r="M216" s="4">
        <f>M212-súhrnná!J7</f>
        <v>0</v>
      </c>
      <c r="N216" s="4">
        <f>N212-súhrnná!K7</f>
        <v>0</v>
      </c>
      <c r="O216" s="4">
        <f>O212-súhrnná!O7</f>
        <v>0</v>
      </c>
      <c r="P216" s="4">
        <f>P212-súhrnná!P7</f>
        <v>0</v>
      </c>
      <c r="Q216" s="4">
        <f>Q212-súhrnná!Q7</f>
        <v>0</v>
      </c>
      <c r="R216" s="4">
        <f>R212-súhrnná!R7</f>
        <v>0</v>
      </c>
      <c r="S216" s="4">
        <f>S212-súhrnná!S7</f>
        <v>0</v>
      </c>
    </row>
    <row r="217" spans="1:19" s="52" customFormat="1" x14ac:dyDescent="0.2">
      <c r="A217" s="54"/>
      <c r="B217" s="55"/>
      <c r="C217" s="56"/>
      <c r="D217" s="56"/>
      <c r="E217" s="56"/>
      <c r="F217" s="56"/>
      <c r="G217" s="56"/>
      <c r="H217" s="56"/>
      <c r="I217" s="56"/>
      <c r="J217" s="57"/>
      <c r="K217" s="56"/>
      <c r="L217" s="56"/>
      <c r="M217" s="56"/>
      <c r="N217" s="56"/>
      <c r="O217" s="56"/>
      <c r="P217" s="56"/>
      <c r="Q217" s="56"/>
      <c r="R217" s="56"/>
      <c r="S217" s="56"/>
    </row>
    <row r="218" spans="1:19" ht="12.75" thickBot="1" x14ac:dyDescent="0.25">
      <c r="A218" s="8" t="s">
        <v>222</v>
      </c>
      <c r="B218" s="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9"/>
      <c r="N218" s="59"/>
      <c r="O218" s="59"/>
      <c r="P218" s="59"/>
      <c r="Q218" s="59"/>
      <c r="R218" s="59"/>
      <c r="S218" s="59"/>
    </row>
    <row r="219" spans="1:19" ht="12.75" thickBot="1" x14ac:dyDescent="0.25">
      <c r="A219" s="9"/>
      <c r="B219" s="60"/>
      <c r="C219" s="61" t="s">
        <v>0</v>
      </c>
      <c r="D219" s="11" t="s">
        <v>1</v>
      </c>
      <c r="E219" s="11" t="s">
        <v>2</v>
      </c>
      <c r="F219" s="11" t="s">
        <v>3</v>
      </c>
      <c r="G219" s="11" t="s">
        <v>70</v>
      </c>
      <c r="H219" s="11" t="s">
        <v>5</v>
      </c>
      <c r="I219" s="62"/>
      <c r="J219" s="11" t="s">
        <v>7</v>
      </c>
      <c r="K219" s="62" t="s">
        <v>8</v>
      </c>
      <c r="L219" s="11" t="s">
        <v>9</v>
      </c>
      <c r="M219" s="62" t="s">
        <v>10</v>
      </c>
      <c r="N219" s="11" t="s">
        <v>71</v>
      </c>
      <c r="O219" s="11" t="s">
        <v>72</v>
      </c>
      <c r="P219" s="11" t="s">
        <v>13</v>
      </c>
      <c r="Q219" s="62" t="s">
        <v>14</v>
      </c>
      <c r="R219" s="63"/>
      <c r="S219" s="64" t="s">
        <v>15</v>
      </c>
    </row>
    <row r="220" spans="1:19" ht="12.75" thickBot="1" x14ac:dyDescent="0.25">
      <c r="A220" s="16" t="s">
        <v>73</v>
      </c>
      <c r="B220" s="65"/>
      <c r="C220" s="66">
        <v>0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6">
        <v>0</v>
      </c>
      <c r="J220" s="67">
        <v>0</v>
      </c>
      <c r="K220" s="68">
        <v>0</v>
      </c>
      <c r="L220" s="67">
        <v>0</v>
      </c>
      <c r="M220" s="68">
        <v>0</v>
      </c>
      <c r="N220" s="67">
        <v>0</v>
      </c>
      <c r="O220" s="67">
        <v>0</v>
      </c>
      <c r="P220" s="67">
        <v>0</v>
      </c>
      <c r="Q220" s="69">
        <v>0</v>
      </c>
      <c r="R220" s="68">
        <v>0</v>
      </c>
      <c r="S220" s="67">
        <f>SUM(C220:R220)</f>
        <v>0</v>
      </c>
    </row>
    <row r="221" spans="1:19" ht="12.75" thickBot="1" x14ac:dyDescent="0.25">
      <c r="A221" s="613" t="s">
        <v>16</v>
      </c>
      <c r="B221" s="614"/>
      <c r="C221" s="21">
        <f>C225+C226+C227+C228</f>
        <v>0</v>
      </c>
      <c r="D221" s="21">
        <f>D225+D226+D227+D228+D230+D229</f>
        <v>281000</v>
      </c>
      <c r="E221" s="21">
        <f t="shared" ref="E221:R221" si="12">E225+E226+E227+E228+E230+E229</f>
        <v>0</v>
      </c>
      <c r="F221" s="21">
        <f t="shared" si="12"/>
        <v>80000</v>
      </c>
      <c r="G221" s="21">
        <f t="shared" si="12"/>
        <v>0</v>
      </c>
      <c r="H221" s="21">
        <f t="shared" si="12"/>
        <v>354000</v>
      </c>
      <c r="I221" s="21">
        <f t="shared" si="12"/>
        <v>0</v>
      </c>
      <c r="J221" s="21">
        <f t="shared" si="12"/>
        <v>50000</v>
      </c>
      <c r="K221" s="21">
        <f t="shared" si="12"/>
        <v>0</v>
      </c>
      <c r="L221" s="21">
        <f t="shared" si="12"/>
        <v>0</v>
      </c>
      <c r="M221" s="21">
        <f t="shared" si="12"/>
        <v>0</v>
      </c>
      <c r="N221" s="21">
        <f t="shared" si="12"/>
        <v>0</v>
      </c>
      <c r="O221" s="21">
        <f t="shared" si="12"/>
        <v>70000</v>
      </c>
      <c r="P221" s="21">
        <f t="shared" si="12"/>
        <v>0</v>
      </c>
      <c r="Q221" s="21">
        <f t="shared" si="12"/>
        <v>0</v>
      </c>
      <c r="R221" s="21">
        <f t="shared" si="12"/>
        <v>0</v>
      </c>
      <c r="S221" s="21">
        <f>S225+S226+S227+S228+S229+S230</f>
        <v>835000</v>
      </c>
    </row>
    <row r="222" spans="1:19" x14ac:dyDescent="0.2">
      <c r="A222" s="70" t="s">
        <v>17</v>
      </c>
      <c r="B222" s="71" t="s">
        <v>18</v>
      </c>
      <c r="C222" s="72"/>
      <c r="D222" s="73"/>
      <c r="E222" s="73"/>
      <c r="F222" s="73"/>
      <c r="G222" s="73"/>
      <c r="H222" s="73"/>
      <c r="I222" s="74"/>
      <c r="J222" s="73"/>
      <c r="K222" s="74"/>
      <c r="L222" s="73"/>
      <c r="M222" s="74"/>
      <c r="N222" s="73"/>
      <c r="O222" s="73"/>
      <c r="P222" s="73"/>
      <c r="Q222" s="75"/>
      <c r="R222" s="28"/>
      <c r="S222" s="76"/>
    </row>
    <row r="223" spans="1:19" x14ac:dyDescent="0.2">
      <c r="A223" s="77" t="s">
        <v>178</v>
      </c>
      <c r="B223" s="371" t="s">
        <v>26</v>
      </c>
      <c r="C223" s="27"/>
      <c r="D223" s="26">
        <v>50000</v>
      </c>
      <c r="E223" s="26"/>
      <c r="F223" s="26"/>
      <c r="G223" s="26"/>
      <c r="H223" s="26"/>
      <c r="I223" s="3"/>
      <c r="J223" s="26"/>
      <c r="K223" s="3"/>
      <c r="L223" s="78"/>
      <c r="M223" s="79"/>
      <c r="N223" s="78"/>
      <c r="O223" s="78"/>
      <c r="P223" s="78"/>
      <c r="Q223" s="79"/>
      <c r="R223" s="29"/>
      <c r="S223" s="370">
        <f t="shared" ref="S223:S232" si="13">SUM(C223:Q223)</f>
        <v>50000</v>
      </c>
    </row>
    <row r="224" spans="1:19" x14ac:dyDescent="0.2">
      <c r="A224" s="81" t="s">
        <v>23</v>
      </c>
      <c r="B224" s="371" t="s">
        <v>24</v>
      </c>
      <c r="C224" s="82"/>
      <c r="D224" s="83"/>
      <c r="E224" s="83"/>
      <c r="F224" s="83"/>
      <c r="G224" s="83"/>
      <c r="H224" s="83"/>
      <c r="I224" s="84"/>
      <c r="J224" s="83"/>
      <c r="K224" s="84"/>
      <c r="L224" s="26"/>
      <c r="M224" s="3"/>
      <c r="N224" s="26"/>
      <c r="O224" s="26"/>
      <c r="P224" s="26"/>
      <c r="Q224" s="3"/>
      <c r="R224" s="29"/>
      <c r="S224" s="80">
        <f t="shared" si="13"/>
        <v>0</v>
      </c>
    </row>
    <row r="225" spans="1:19" x14ac:dyDescent="0.2">
      <c r="A225" s="85" t="s">
        <v>174</v>
      </c>
      <c r="B225" s="86" t="s">
        <v>31</v>
      </c>
      <c r="C225" s="87"/>
      <c r="D225" s="78">
        <v>135000</v>
      </c>
      <c r="E225" s="78"/>
      <c r="F225" s="78"/>
      <c r="G225" s="78"/>
      <c r="H225" s="78"/>
      <c r="I225" s="79"/>
      <c r="J225" s="78"/>
      <c r="K225" s="79"/>
      <c r="L225" s="78"/>
      <c r="M225" s="79"/>
      <c r="N225" s="78"/>
      <c r="O225" s="78"/>
      <c r="P225" s="78"/>
      <c r="Q225" s="79"/>
      <c r="R225" s="29"/>
      <c r="S225" s="80">
        <f t="shared" si="13"/>
        <v>135000</v>
      </c>
    </row>
    <row r="226" spans="1:19" ht="24" x14ac:dyDescent="0.2">
      <c r="A226" s="85" t="s">
        <v>188</v>
      </c>
      <c r="B226" s="86" t="s">
        <v>31</v>
      </c>
      <c r="C226" s="87"/>
      <c r="D226" s="78"/>
      <c r="E226" s="78"/>
      <c r="F226" s="78"/>
      <c r="G226" s="78"/>
      <c r="H226" s="78"/>
      <c r="I226" s="79"/>
      <c r="J226" s="78">
        <v>50000</v>
      </c>
      <c r="K226" s="79"/>
      <c r="L226" s="78"/>
      <c r="M226" s="79"/>
      <c r="N226" s="78"/>
      <c r="O226" s="78"/>
      <c r="P226" s="78"/>
      <c r="Q226" s="79"/>
      <c r="R226" s="29"/>
      <c r="S226" s="80">
        <f t="shared" si="13"/>
        <v>50000</v>
      </c>
    </row>
    <row r="227" spans="1:19" ht="24" x14ac:dyDescent="0.2">
      <c r="A227" s="88" t="s">
        <v>189</v>
      </c>
      <c r="B227" s="89" t="s">
        <v>31</v>
      </c>
      <c r="C227" s="87"/>
      <c r="D227" s="78"/>
      <c r="E227" s="78"/>
      <c r="F227" s="78"/>
      <c r="G227" s="78"/>
      <c r="H227" s="78"/>
      <c r="I227" s="79"/>
      <c r="J227" s="78"/>
      <c r="K227" s="79"/>
      <c r="L227" s="78"/>
      <c r="M227" s="79"/>
      <c r="N227" s="78"/>
      <c r="O227" s="78">
        <v>70000</v>
      </c>
      <c r="P227" s="78"/>
      <c r="Q227" s="79"/>
      <c r="R227" s="29"/>
      <c r="S227" s="80">
        <f t="shared" si="13"/>
        <v>70000</v>
      </c>
    </row>
    <row r="228" spans="1:19" ht="24" x14ac:dyDescent="0.2">
      <c r="A228" s="90" t="s">
        <v>190</v>
      </c>
      <c r="B228" s="89" t="s">
        <v>31</v>
      </c>
      <c r="C228" s="87"/>
      <c r="D228" s="78"/>
      <c r="E228" s="78"/>
      <c r="F228" s="78">
        <v>80000</v>
      </c>
      <c r="G228" s="78"/>
      <c r="H228" s="78"/>
      <c r="I228" s="79"/>
      <c r="J228" s="78"/>
      <c r="K228" s="79"/>
      <c r="L228" s="78"/>
      <c r="M228" s="79"/>
      <c r="N228" s="78"/>
      <c r="O228" s="78"/>
      <c r="P228" s="78"/>
      <c r="Q228" s="79"/>
      <c r="R228" s="29"/>
      <c r="S228" s="80">
        <f t="shared" si="13"/>
        <v>80000</v>
      </c>
    </row>
    <row r="229" spans="1:19" ht="36" x14ac:dyDescent="0.2">
      <c r="A229" s="368" t="s">
        <v>191</v>
      </c>
      <c r="B229" s="367" t="s">
        <v>31</v>
      </c>
      <c r="C229" s="87"/>
      <c r="D229" s="78"/>
      <c r="E229" s="78"/>
      <c r="F229" s="78"/>
      <c r="G229" s="78"/>
      <c r="H229" s="78">
        <v>354000</v>
      </c>
      <c r="I229" s="79"/>
      <c r="J229" s="78"/>
      <c r="K229" s="79"/>
      <c r="L229" s="78"/>
      <c r="M229" s="79"/>
      <c r="N229" s="78"/>
      <c r="O229" s="78"/>
      <c r="P229" s="78"/>
      <c r="Q229" s="79"/>
      <c r="R229" s="29"/>
      <c r="S229" s="80">
        <f t="shared" si="13"/>
        <v>354000</v>
      </c>
    </row>
    <row r="230" spans="1:19" ht="36" x14ac:dyDescent="0.2">
      <c r="A230" s="366" t="s">
        <v>192</v>
      </c>
      <c r="B230" s="369" t="s">
        <v>31</v>
      </c>
      <c r="C230" s="82"/>
      <c r="D230" s="83">
        <v>146000</v>
      </c>
      <c r="E230" s="93"/>
      <c r="F230" s="93"/>
      <c r="G230" s="83"/>
      <c r="H230" s="83"/>
      <c r="I230" s="84"/>
      <c r="J230" s="83"/>
      <c r="K230" s="84"/>
      <c r="L230" s="83"/>
      <c r="M230" s="84"/>
      <c r="N230" s="83"/>
      <c r="O230" s="83"/>
      <c r="P230" s="83"/>
      <c r="Q230" s="84"/>
      <c r="R230" s="29"/>
      <c r="S230" s="94">
        <f t="shared" si="13"/>
        <v>146000</v>
      </c>
    </row>
    <row r="231" spans="1:19" ht="12.75" thickBot="1" x14ac:dyDescent="0.25">
      <c r="A231" s="91"/>
      <c r="B231" s="92"/>
      <c r="C231" s="95"/>
      <c r="D231" s="96"/>
      <c r="E231" s="96"/>
      <c r="F231" s="97"/>
      <c r="G231" s="96"/>
      <c r="H231" s="96"/>
      <c r="I231" s="98"/>
      <c r="J231" s="96"/>
      <c r="K231" s="98"/>
      <c r="L231" s="96"/>
      <c r="M231" s="98"/>
      <c r="N231" s="96"/>
      <c r="O231" s="96"/>
      <c r="P231" s="96"/>
      <c r="Q231" s="98"/>
      <c r="R231" s="29"/>
      <c r="S231" s="94">
        <f t="shared" si="13"/>
        <v>0</v>
      </c>
    </row>
    <row r="232" spans="1:19" ht="16.350000000000001" customHeight="1" thickBot="1" x14ac:dyDescent="0.25">
      <c r="A232" s="99"/>
      <c r="B232" s="100"/>
      <c r="C232" s="101"/>
      <c r="D232" s="102"/>
      <c r="E232" s="102"/>
      <c r="F232" s="102"/>
      <c r="G232" s="102"/>
      <c r="H232" s="102"/>
      <c r="I232" s="103"/>
      <c r="J232" s="102"/>
      <c r="K232" s="103"/>
      <c r="L232" s="102"/>
      <c r="M232" s="103"/>
      <c r="N232" s="102"/>
      <c r="O232" s="102"/>
      <c r="P232" s="102"/>
      <c r="Q232" s="103"/>
      <c r="R232" s="104"/>
      <c r="S232" s="105">
        <f t="shared" si="13"/>
        <v>0</v>
      </c>
    </row>
    <row r="233" spans="1:19" ht="18" customHeight="1" thickBot="1" x14ac:dyDescent="0.25">
      <c r="A233" s="106" t="s">
        <v>68</v>
      </c>
      <c r="B233" s="107"/>
      <c r="C233" s="108">
        <f t="shared" ref="C233:R233" si="14">SUM(C223:C232)</f>
        <v>0</v>
      </c>
      <c r="D233" s="108">
        <f t="shared" si="14"/>
        <v>331000</v>
      </c>
      <c r="E233" s="108">
        <f t="shared" si="14"/>
        <v>0</v>
      </c>
      <c r="F233" s="108">
        <f t="shared" si="14"/>
        <v>80000</v>
      </c>
      <c r="G233" s="108">
        <f t="shared" si="14"/>
        <v>0</v>
      </c>
      <c r="H233" s="108">
        <f t="shared" si="14"/>
        <v>354000</v>
      </c>
      <c r="I233" s="108">
        <f t="shared" si="14"/>
        <v>0</v>
      </c>
      <c r="J233" s="109">
        <f t="shared" si="14"/>
        <v>50000</v>
      </c>
      <c r="K233" s="110">
        <f t="shared" si="14"/>
        <v>0</v>
      </c>
      <c r="L233" s="108">
        <f t="shared" si="14"/>
        <v>0</v>
      </c>
      <c r="M233" s="108">
        <f t="shared" si="14"/>
        <v>0</v>
      </c>
      <c r="N233" s="108">
        <f t="shared" si="14"/>
        <v>0</v>
      </c>
      <c r="O233" s="108">
        <f t="shared" si="14"/>
        <v>70000</v>
      </c>
      <c r="P233" s="108">
        <f t="shared" si="14"/>
        <v>0</v>
      </c>
      <c r="Q233" s="108">
        <f t="shared" si="14"/>
        <v>0</v>
      </c>
      <c r="R233" s="108">
        <f t="shared" si="14"/>
        <v>0</v>
      </c>
      <c r="S233" s="111">
        <f>SUM(C233:R233)</f>
        <v>885000</v>
      </c>
    </row>
    <row r="234" spans="1:19" ht="18" customHeight="1" thickBot="1" x14ac:dyDescent="0.25">
      <c r="A234" s="112" t="s">
        <v>69</v>
      </c>
      <c r="B234" s="113"/>
      <c r="C234" s="114">
        <f>C233-C223-C224</f>
        <v>0</v>
      </c>
      <c r="D234" s="114">
        <f>D233-D223-D224</f>
        <v>281000</v>
      </c>
      <c r="E234" s="114">
        <f t="shared" ref="E234:S234" si="15">E233-E223-E224</f>
        <v>0</v>
      </c>
      <c r="F234" s="114">
        <f t="shared" si="15"/>
        <v>80000</v>
      </c>
      <c r="G234" s="114">
        <f t="shared" si="15"/>
        <v>0</v>
      </c>
      <c r="H234" s="114">
        <f t="shared" si="15"/>
        <v>354000</v>
      </c>
      <c r="I234" s="114">
        <f t="shared" si="15"/>
        <v>0</v>
      </c>
      <c r="J234" s="114">
        <f t="shared" si="15"/>
        <v>50000</v>
      </c>
      <c r="K234" s="114">
        <f t="shared" si="15"/>
        <v>0</v>
      </c>
      <c r="L234" s="114">
        <f t="shared" si="15"/>
        <v>0</v>
      </c>
      <c r="M234" s="114">
        <f t="shared" si="15"/>
        <v>0</v>
      </c>
      <c r="N234" s="114">
        <f t="shared" si="15"/>
        <v>0</v>
      </c>
      <c r="O234" s="114">
        <f t="shared" si="15"/>
        <v>70000</v>
      </c>
      <c r="P234" s="114">
        <f t="shared" si="15"/>
        <v>0</v>
      </c>
      <c r="Q234" s="114">
        <f t="shared" si="15"/>
        <v>0</v>
      </c>
      <c r="R234" s="114">
        <f t="shared" si="15"/>
        <v>0</v>
      </c>
      <c r="S234" s="114">
        <f t="shared" si="15"/>
        <v>835000</v>
      </c>
    </row>
    <row r="235" spans="1:19" ht="21.6" customHeight="1" thickBot="1" x14ac:dyDescent="0.25">
      <c r="A235" s="16" t="s">
        <v>179</v>
      </c>
      <c r="B235" s="115"/>
      <c r="C235" s="41">
        <f t="shared" ref="C235:R235" si="16">C220+C233</f>
        <v>0</v>
      </c>
      <c r="D235" s="41">
        <f t="shared" si="16"/>
        <v>331000</v>
      </c>
      <c r="E235" s="41">
        <f t="shared" si="16"/>
        <v>0</v>
      </c>
      <c r="F235" s="41">
        <f t="shared" si="16"/>
        <v>80000</v>
      </c>
      <c r="G235" s="41">
        <f t="shared" si="16"/>
        <v>0</v>
      </c>
      <c r="H235" s="41">
        <f t="shared" si="16"/>
        <v>354000</v>
      </c>
      <c r="I235" s="41">
        <f t="shared" si="16"/>
        <v>0</v>
      </c>
      <c r="J235" s="40">
        <f t="shared" si="16"/>
        <v>50000</v>
      </c>
      <c r="K235" s="116">
        <f t="shared" si="16"/>
        <v>0</v>
      </c>
      <c r="L235" s="41">
        <f t="shared" si="16"/>
        <v>0</v>
      </c>
      <c r="M235" s="41">
        <f t="shared" si="16"/>
        <v>0</v>
      </c>
      <c r="N235" s="41">
        <f t="shared" si="16"/>
        <v>0</v>
      </c>
      <c r="O235" s="41">
        <f t="shared" si="16"/>
        <v>70000</v>
      </c>
      <c r="P235" s="41">
        <f t="shared" si="16"/>
        <v>0</v>
      </c>
      <c r="Q235" s="41">
        <f t="shared" si="16"/>
        <v>0</v>
      </c>
      <c r="R235" s="41">
        <f t="shared" si="16"/>
        <v>0</v>
      </c>
      <c r="S235" s="117">
        <f>SUM(C235:R235)</f>
        <v>885000</v>
      </c>
    </row>
    <row r="236" spans="1:19" ht="20.25" customHeight="1" thickBot="1" x14ac:dyDescent="0.25">
      <c r="A236" s="611" t="s">
        <v>74</v>
      </c>
      <c r="B236" s="612"/>
      <c r="C236" s="44">
        <f t="shared" ref="C236:M236" si="17">C220+C234</f>
        <v>0</v>
      </c>
      <c r="D236" s="43">
        <f t="shared" si="17"/>
        <v>281000</v>
      </c>
      <c r="E236" s="43">
        <f t="shared" si="17"/>
        <v>0</v>
      </c>
      <c r="F236" s="43">
        <f t="shared" si="17"/>
        <v>80000</v>
      </c>
      <c r="G236" s="43">
        <f t="shared" si="17"/>
        <v>0</v>
      </c>
      <c r="H236" s="43">
        <f t="shared" si="17"/>
        <v>354000</v>
      </c>
      <c r="I236" s="44">
        <f t="shared" si="17"/>
        <v>0</v>
      </c>
      <c r="J236" s="43">
        <f t="shared" si="17"/>
        <v>50000</v>
      </c>
      <c r="K236" s="118">
        <f t="shared" si="17"/>
        <v>0</v>
      </c>
      <c r="L236" s="43">
        <f t="shared" si="17"/>
        <v>0</v>
      </c>
      <c r="M236" s="118">
        <f t="shared" si="17"/>
        <v>0</v>
      </c>
      <c r="N236" s="43"/>
      <c r="O236" s="43">
        <f>O220+O234</f>
        <v>70000</v>
      </c>
      <c r="P236" s="43">
        <f>P220+P234</f>
        <v>0</v>
      </c>
      <c r="Q236" s="119">
        <f>Q220+Q234</f>
        <v>0</v>
      </c>
      <c r="R236" s="119">
        <f>R220+R234</f>
        <v>0</v>
      </c>
      <c r="S236" s="43">
        <f>S221</f>
        <v>835000</v>
      </c>
    </row>
    <row r="237" spans="1:19" s="120" customFormat="1" x14ac:dyDescent="0.2">
      <c r="B237" s="120" t="s">
        <v>75</v>
      </c>
      <c r="C237" s="121">
        <f t="shared" ref="C237:N237" si="18">C235+C212</f>
        <v>14428103.890000001</v>
      </c>
      <c r="D237" s="121">
        <f>D235+D212</f>
        <v>7055619.7799999993</v>
      </c>
      <c r="E237" s="121">
        <f t="shared" si="18"/>
        <v>17041083.050000001</v>
      </c>
      <c r="F237" s="121">
        <f t="shared" si="18"/>
        <v>16472134.960000001</v>
      </c>
      <c r="G237" s="121">
        <f t="shared" si="18"/>
        <v>5025068.53</v>
      </c>
      <c r="H237" s="121">
        <f t="shared" si="18"/>
        <v>11013310.609999999</v>
      </c>
      <c r="I237" s="121">
        <f t="shared" si="18"/>
        <v>200435</v>
      </c>
      <c r="J237" s="121">
        <f t="shared" si="18"/>
        <v>4529169.9800000004</v>
      </c>
      <c r="K237" s="121">
        <f t="shared" si="18"/>
        <v>4709189.13</v>
      </c>
      <c r="L237" s="121">
        <f t="shared" si="18"/>
        <v>63137</v>
      </c>
      <c r="M237" s="121">
        <f t="shared" si="18"/>
        <v>1376520.54</v>
      </c>
      <c r="N237" s="121">
        <f t="shared" si="18"/>
        <v>0</v>
      </c>
      <c r="O237" s="121">
        <f>O212+O235</f>
        <v>4985062.92</v>
      </c>
      <c r="P237" s="121">
        <f>P212+P235</f>
        <v>1747259.33</v>
      </c>
      <c r="Q237" s="121">
        <f>Q235+Q212</f>
        <v>973947.19000000006</v>
      </c>
      <c r="R237" s="121">
        <f>R235+R212</f>
        <v>614520.98</v>
      </c>
      <c r="S237" s="121">
        <f>S212+S235</f>
        <v>90234562.890000001</v>
      </c>
    </row>
    <row r="238" spans="1:19" x14ac:dyDescent="0.2">
      <c r="C238" s="122">
        <f>súhrnná!B5</f>
        <v>14428103.890000001</v>
      </c>
      <c r="D238" s="122">
        <f>súhrnná!C5</f>
        <v>7055619.7799999993</v>
      </c>
      <c r="E238" s="122">
        <f>súhrnná!D5</f>
        <v>17041083.049999997</v>
      </c>
      <c r="F238" s="122">
        <f>súhrnná!E5</f>
        <v>16472134.959999999</v>
      </c>
      <c r="G238" s="122">
        <f>súhrnná!F5</f>
        <v>5025068.53</v>
      </c>
      <c r="H238" s="122">
        <f>súhrnná!G5</f>
        <v>11013310.609999999</v>
      </c>
      <c r="I238" s="122">
        <f>súhrnná!H5</f>
        <v>200435</v>
      </c>
      <c r="J238" s="122">
        <f>súhrnná!I5</f>
        <v>4529169.9800000004</v>
      </c>
      <c r="K238" s="122">
        <f>súhrnná!M5</f>
        <v>4709189.13</v>
      </c>
      <c r="L238" s="122"/>
      <c r="M238" s="122">
        <f>súhrnná!J5</f>
        <v>1376520.54</v>
      </c>
      <c r="N238" s="122"/>
      <c r="O238" s="122">
        <f>súhrnná!O5</f>
        <v>4985062.92</v>
      </c>
      <c r="P238" s="122">
        <f>súhrnná!P5</f>
        <v>1747259.33</v>
      </c>
      <c r="Q238" s="122">
        <f>súhrnná!Q5</f>
        <v>973947.19000000006</v>
      </c>
      <c r="R238" s="122"/>
      <c r="S238" s="122">
        <f>SUM(C238:R238)</f>
        <v>89556904.909999996</v>
      </c>
    </row>
    <row r="239" spans="1:19" x14ac:dyDescent="0.2">
      <c r="Q239" s="6">
        <v>0</v>
      </c>
      <c r="S239" s="6">
        <f>SUM(C239:Q239)</f>
        <v>0</v>
      </c>
    </row>
    <row r="240" spans="1:19" x14ac:dyDescent="0.2">
      <c r="F240" s="121"/>
      <c r="G240" s="48"/>
    </row>
    <row r="241" spans="1:19" x14ac:dyDescent="0.2">
      <c r="A241" s="7" t="s">
        <v>76</v>
      </c>
      <c r="C241" s="6">
        <f>súhrnná!B7+súhrnná!B157</f>
        <v>14428103.890000001</v>
      </c>
      <c r="D241" s="6">
        <f>súhrnná!C157+súhrnná!C7</f>
        <v>7055619.7799999993</v>
      </c>
      <c r="E241" s="6">
        <f>súhrnná!D7+súhrnná!D157</f>
        <v>17041083.049999997</v>
      </c>
      <c r="F241" s="6">
        <f>súhrnná!E157+súhrnná!E7</f>
        <v>16472134.959999999</v>
      </c>
      <c r="G241" s="6">
        <f>súhrnná!F7+súhrnná!F157</f>
        <v>5025068.53</v>
      </c>
      <c r="H241" s="6">
        <f>súhrnná!G157+súhrnná!G7</f>
        <v>11013310.609999999</v>
      </c>
      <c r="I241" s="6">
        <f>súhrnná!H7+súhrnná!H157</f>
        <v>200435</v>
      </c>
      <c r="J241" s="6">
        <f>súhrnná!I157+súhrnná!I7</f>
        <v>4529169.9800000004</v>
      </c>
      <c r="K241" s="6">
        <f>súhrnná!M7+súhrnná!M157</f>
        <v>4709189.13</v>
      </c>
      <c r="L241" s="6">
        <f>súhrnná!K7+súhrnná!K157</f>
        <v>0</v>
      </c>
      <c r="M241" s="6">
        <f>súhrnná!J7+súhrnná!J157</f>
        <v>1376520.54</v>
      </c>
      <c r="O241" s="6">
        <f>súhrnná!O7+súhrnná!O157</f>
        <v>4985062.92</v>
      </c>
      <c r="P241" s="6">
        <f>súhrnná!P7+súhrnná!P157</f>
        <v>1747259.33</v>
      </c>
      <c r="Q241" s="6">
        <f>súhrnná!Q157+súhrnná!Q7</f>
        <v>973947.19000000006</v>
      </c>
      <c r="S241" s="6">
        <f>SUM(C241:R241)</f>
        <v>89556904.909999996</v>
      </c>
    </row>
    <row r="242" spans="1:19" x14ac:dyDescent="0.2">
      <c r="A242" s="7" t="s">
        <v>77</v>
      </c>
      <c r="S242" s="6">
        <f t="shared" ref="S242:S243" si="19">SUM(C242:R242)</f>
        <v>0</v>
      </c>
    </row>
    <row r="243" spans="1:19" x14ac:dyDescent="0.2">
      <c r="A243" s="7" t="s">
        <v>215</v>
      </c>
      <c r="C243" s="123">
        <f>súhrnná!B7</f>
        <v>14428103.890000001</v>
      </c>
      <c r="D243" s="123">
        <f>súhrnná!C7</f>
        <v>6724619.7799999993</v>
      </c>
      <c r="E243" s="123">
        <f>súhrnná!D7</f>
        <v>17041083.049999997</v>
      </c>
      <c r="F243" s="123">
        <f>súhrnná!E7</f>
        <v>16392134.959999999</v>
      </c>
      <c r="G243" s="123">
        <f>súhrnná!F7</f>
        <v>5025068.53</v>
      </c>
      <c r="H243" s="123">
        <f>súhrnná!G7</f>
        <v>10659310.609999999</v>
      </c>
      <c r="I243" s="123">
        <f>súhrnná!H5</f>
        <v>200435</v>
      </c>
      <c r="J243" s="123">
        <f>súhrnná!I5</f>
        <v>4529169.9800000004</v>
      </c>
      <c r="K243" s="123">
        <f>súhrnná!M5</f>
        <v>4709189.13</v>
      </c>
      <c r="L243" s="123">
        <f>súhrnná!K5</f>
        <v>0</v>
      </c>
      <c r="M243" s="123">
        <f>súhrnná!J5</f>
        <v>1376520.54</v>
      </c>
      <c r="N243" s="123"/>
      <c r="O243" s="123">
        <f>súhrnná!O7</f>
        <v>4915062.92</v>
      </c>
      <c r="P243" s="123">
        <f>súhrnná!P5</f>
        <v>1747259.33</v>
      </c>
      <c r="Q243" s="123">
        <f>súhrnná!Q7</f>
        <v>973947.19000000006</v>
      </c>
      <c r="R243" s="123"/>
      <c r="S243" s="6">
        <f t="shared" si="19"/>
        <v>88721904.909999996</v>
      </c>
    </row>
    <row r="244" spans="1:19" x14ac:dyDescent="0.2">
      <c r="A244" s="7" t="s">
        <v>216</v>
      </c>
      <c r="C244" s="6">
        <f t="shared" ref="C244:Q244" si="20">C241-C243</f>
        <v>0</v>
      </c>
      <c r="D244" s="6">
        <f t="shared" si="20"/>
        <v>331000</v>
      </c>
      <c r="E244" s="6">
        <f t="shared" si="20"/>
        <v>0</v>
      </c>
      <c r="F244" s="6">
        <f t="shared" si="20"/>
        <v>80000</v>
      </c>
      <c r="G244" s="6">
        <f t="shared" si="20"/>
        <v>0</v>
      </c>
      <c r="H244" s="6">
        <f t="shared" si="20"/>
        <v>354000</v>
      </c>
      <c r="I244" s="6">
        <f t="shared" si="20"/>
        <v>0</v>
      </c>
      <c r="J244" s="6">
        <f t="shared" si="20"/>
        <v>0</v>
      </c>
      <c r="K244" s="6">
        <f t="shared" si="20"/>
        <v>0</v>
      </c>
      <c r="L244" s="6">
        <f t="shared" si="20"/>
        <v>0</v>
      </c>
      <c r="M244" s="6">
        <f t="shared" si="20"/>
        <v>0</v>
      </c>
      <c r="N244" s="6">
        <f t="shared" si="20"/>
        <v>0</v>
      </c>
      <c r="O244" s="6">
        <f t="shared" si="20"/>
        <v>70000</v>
      </c>
      <c r="P244" s="6">
        <f t="shared" si="20"/>
        <v>0</v>
      </c>
      <c r="Q244" s="6">
        <f t="shared" si="20"/>
        <v>0</v>
      </c>
      <c r="S244" s="6">
        <f>SUM(C244:R244)</f>
        <v>835000</v>
      </c>
    </row>
    <row r="246" spans="1:19" x14ac:dyDescent="0.2">
      <c r="S246" s="124">
        <f>S235+S212</f>
        <v>90234562.890000001</v>
      </c>
    </row>
  </sheetData>
  <autoFilter ref="B1:B247" xr:uid="{31320A53-D668-4A38-9065-F71FC4555F83}"/>
  <mergeCells count="3">
    <mergeCell ref="A213:B213"/>
    <mergeCell ref="A221:B221"/>
    <mergeCell ref="A236:B236"/>
  </mergeCells>
  <pageMargins left="0.7" right="0.7" top="0.75" bottom="0.75" header="0.3" footer="0.3"/>
  <pageSetup paperSize="8" scale="56" fitToHeight="0" orientation="landscape" r:id="rId1"/>
  <ignoredErrors>
    <ignoredError sqref="M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17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S1"/>
    </sheetView>
  </sheetViews>
  <sheetFormatPr defaultColWidth="9.140625" defaultRowHeight="15" x14ac:dyDescent="0.25"/>
  <cols>
    <col min="1" max="1" width="46.85546875" style="125" customWidth="1"/>
    <col min="2" max="2" width="11.28515625" style="352" bestFit="1" customWidth="1"/>
    <col min="3" max="3" width="10.28515625" style="352" bestFit="1" customWidth="1"/>
    <col min="4" max="4" width="11.28515625" style="352" bestFit="1" customWidth="1"/>
    <col min="5" max="5" width="11.28515625" bestFit="1" customWidth="1"/>
    <col min="6" max="6" width="10.28515625" bestFit="1" customWidth="1"/>
    <col min="7" max="7" width="12.7109375" customWidth="1"/>
    <col min="8" max="8" width="9" bestFit="1" customWidth="1"/>
    <col min="9" max="10" width="10.28515625" bestFit="1" customWidth="1"/>
    <col min="11" max="11" width="4" bestFit="1" customWidth="1"/>
    <col min="12" max="12" width="11.7109375" bestFit="1" customWidth="1"/>
    <col min="13" max="13" width="10.28515625" bestFit="1" customWidth="1"/>
    <col min="14" max="14" width="8.42578125" bestFit="1" customWidth="1"/>
    <col min="15" max="16" width="10.28515625" bestFit="1" customWidth="1"/>
    <col min="17" max="17" width="18.7109375" bestFit="1" customWidth="1"/>
    <col min="18" max="18" width="11.7109375" customWidth="1"/>
    <col min="19" max="19" width="11.28515625" bestFit="1" customWidth="1"/>
    <col min="20" max="178" width="9.140625" style="125"/>
    <col min="179" max="179" width="47.85546875" style="125" bestFit="1" customWidth="1"/>
    <col min="180" max="180" width="10.7109375" style="125" bestFit="1" customWidth="1"/>
    <col min="181" max="181" width="9.85546875" style="125" bestFit="1" customWidth="1"/>
    <col min="182" max="183" width="10.7109375" style="125" bestFit="1" customWidth="1"/>
    <col min="184" max="185" width="9.85546875" style="125" bestFit="1" customWidth="1"/>
    <col min="186" max="186" width="8.7109375" style="125" bestFit="1" customWidth="1"/>
    <col min="187" max="188" width="9.85546875" style="125" bestFit="1" customWidth="1"/>
    <col min="189" max="189" width="6.85546875" style="125" bestFit="1" customWidth="1"/>
    <col min="190" max="190" width="11.5703125" style="125" customWidth="1"/>
    <col min="191" max="191" width="9.85546875" style="125" bestFit="1" customWidth="1"/>
    <col min="192" max="192" width="8.28515625" style="125" bestFit="1" customWidth="1"/>
    <col min="193" max="194" width="9.85546875" style="125" bestFit="1" customWidth="1"/>
    <col min="195" max="196" width="10.5703125" style="125" customWidth="1"/>
    <col min="197" max="197" width="10.7109375" style="125" bestFit="1" customWidth="1"/>
    <col min="198" max="434" width="9.140625" style="125"/>
    <col min="435" max="435" width="47.85546875" style="125" bestFit="1" customWidth="1"/>
    <col min="436" max="436" width="10.7109375" style="125" bestFit="1" customWidth="1"/>
    <col min="437" max="437" width="9.85546875" style="125" bestFit="1" customWidth="1"/>
    <col min="438" max="439" width="10.7109375" style="125" bestFit="1" customWidth="1"/>
    <col min="440" max="441" width="9.85546875" style="125" bestFit="1" customWidth="1"/>
    <col min="442" max="442" width="8.7109375" style="125" bestFit="1" customWidth="1"/>
    <col min="443" max="444" width="9.85546875" style="125" bestFit="1" customWidth="1"/>
    <col min="445" max="445" width="6.85546875" style="125" bestFit="1" customWidth="1"/>
    <col min="446" max="446" width="11.5703125" style="125" customWidth="1"/>
    <col min="447" max="447" width="9.85546875" style="125" bestFit="1" customWidth="1"/>
    <col min="448" max="448" width="8.28515625" style="125" bestFit="1" customWidth="1"/>
    <col min="449" max="450" width="9.85546875" style="125" bestFit="1" customWidth="1"/>
    <col min="451" max="452" width="10.5703125" style="125" customWidth="1"/>
    <col min="453" max="453" width="10.7109375" style="125" bestFit="1" customWidth="1"/>
    <col min="454" max="690" width="9.140625" style="125"/>
    <col min="691" max="691" width="47.85546875" style="125" bestFit="1" customWidth="1"/>
    <col min="692" max="692" width="10.7109375" style="125" bestFit="1" customWidth="1"/>
    <col min="693" max="693" width="9.85546875" style="125" bestFit="1" customWidth="1"/>
    <col min="694" max="695" width="10.7109375" style="125" bestFit="1" customWidth="1"/>
    <col min="696" max="697" width="9.85546875" style="125" bestFit="1" customWidth="1"/>
    <col min="698" max="698" width="8.7109375" style="125" bestFit="1" customWidth="1"/>
    <col min="699" max="700" width="9.85546875" style="125" bestFit="1" customWidth="1"/>
    <col min="701" max="701" width="6.85546875" style="125" bestFit="1" customWidth="1"/>
    <col min="702" max="702" width="11.5703125" style="125" customWidth="1"/>
    <col min="703" max="703" width="9.85546875" style="125" bestFit="1" customWidth="1"/>
    <col min="704" max="704" width="8.28515625" style="125" bestFit="1" customWidth="1"/>
    <col min="705" max="706" width="9.85546875" style="125" bestFit="1" customWidth="1"/>
    <col min="707" max="708" width="10.5703125" style="125" customWidth="1"/>
    <col min="709" max="709" width="10.7109375" style="125" bestFit="1" customWidth="1"/>
    <col min="710" max="946" width="9.140625" style="125"/>
    <col min="947" max="947" width="47.85546875" style="125" bestFit="1" customWidth="1"/>
    <col min="948" max="948" width="10.7109375" style="125" bestFit="1" customWidth="1"/>
    <col min="949" max="949" width="9.85546875" style="125" bestFit="1" customWidth="1"/>
    <col min="950" max="951" width="10.7109375" style="125" bestFit="1" customWidth="1"/>
    <col min="952" max="953" width="9.85546875" style="125" bestFit="1" customWidth="1"/>
    <col min="954" max="954" width="8.7109375" style="125" bestFit="1" customWidth="1"/>
    <col min="955" max="956" width="9.85546875" style="125" bestFit="1" customWidth="1"/>
    <col min="957" max="957" width="6.85546875" style="125" bestFit="1" customWidth="1"/>
    <col min="958" max="958" width="11.5703125" style="125" customWidth="1"/>
    <col min="959" max="959" width="9.85546875" style="125" bestFit="1" customWidth="1"/>
    <col min="960" max="960" width="8.28515625" style="125" bestFit="1" customWidth="1"/>
    <col min="961" max="962" width="9.85546875" style="125" bestFit="1" customWidth="1"/>
    <col min="963" max="964" width="10.5703125" style="125" customWidth="1"/>
    <col min="965" max="965" width="10.7109375" style="125" bestFit="1" customWidth="1"/>
    <col min="966" max="1202" width="9.140625" style="125"/>
    <col min="1203" max="1203" width="47.85546875" style="125" bestFit="1" customWidth="1"/>
    <col min="1204" max="1204" width="10.7109375" style="125" bestFit="1" customWidth="1"/>
    <col min="1205" max="1205" width="9.85546875" style="125" bestFit="1" customWidth="1"/>
    <col min="1206" max="1207" width="10.7109375" style="125" bestFit="1" customWidth="1"/>
    <col min="1208" max="1209" width="9.85546875" style="125" bestFit="1" customWidth="1"/>
    <col min="1210" max="1210" width="8.7109375" style="125" bestFit="1" customWidth="1"/>
    <col min="1211" max="1212" width="9.85546875" style="125" bestFit="1" customWidth="1"/>
    <col min="1213" max="1213" width="6.85546875" style="125" bestFit="1" customWidth="1"/>
    <col min="1214" max="1214" width="11.5703125" style="125" customWidth="1"/>
    <col min="1215" max="1215" width="9.85546875" style="125" bestFit="1" customWidth="1"/>
    <col min="1216" max="1216" width="8.28515625" style="125" bestFit="1" customWidth="1"/>
    <col min="1217" max="1218" width="9.85546875" style="125" bestFit="1" customWidth="1"/>
    <col min="1219" max="1220" width="10.5703125" style="125" customWidth="1"/>
    <col min="1221" max="1221" width="10.7109375" style="125" bestFit="1" customWidth="1"/>
    <col min="1222" max="1458" width="9.140625" style="125"/>
    <col min="1459" max="1459" width="47.85546875" style="125" bestFit="1" customWidth="1"/>
    <col min="1460" max="1460" width="10.7109375" style="125" bestFit="1" customWidth="1"/>
    <col min="1461" max="1461" width="9.85546875" style="125" bestFit="1" customWidth="1"/>
    <col min="1462" max="1463" width="10.7109375" style="125" bestFit="1" customWidth="1"/>
    <col min="1464" max="1465" width="9.85546875" style="125" bestFit="1" customWidth="1"/>
    <col min="1466" max="1466" width="8.7109375" style="125" bestFit="1" customWidth="1"/>
    <col min="1467" max="1468" width="9.85546875" style="125" bestFit="1" customWidth="1"/>
    <col min="1469" max="1469" width="6.85546875" style="125" bestFit="1" customWidth="1"/>
    <col min="1470" max="1470" width="11.5703125" style="125" customWidth="1"/>
    <col min="1471" max="1471" width="9.85546875" style="125" bestFit="1" customWidth="1"/>
    <col min="1472" max="1472" width="8.28515625" style="125" bestFit="1" customWidth="1"/>
    <col min="1473" max="1474" width="9.85546875" style="125" bestFit="1" customWidth="1"/>
    <col min="1475" max="1476" width="10.5703125" style="125" customWidth="1"/>
    <col min="1477" max="1477" width="10.7109375" style="125" bestFit="1" customWidth="1"/>
    <col min="1478" max="1714" width="9.140625" style="125"/>
    <col min="1715" max="1715" width="47.85546875" style="125" bestFit="1" customWidth="1"/>
    <col min="1716" max="1716" width="10.7109375" style="125" bestFit="1" customWidth="1"/>
    <col min="1717" max="1717" width="9.85546875" style="125" bestFit="1" customWidth="1"/>
    <col min="1718" max="1719" width="10.7109375" style="125" bestFit="1" customWidth="1"/>
    <col min="1720" max="1721" width="9.85546875" style="125" bestFit="1" customWidth="1"/>
    <col min="1722" max="1722" width="8.7109375" style="125" bestFit="1" customWidth="1"/>
    <col min="1723" max="1724" width="9.85546875" style="125" bestFit="1" customWidth="1"/>
    <col min="1725" max="1725" width="6.85546875" style="125" bestFit="1" customWidth="1"/>
    <col min="1726" max="1726" width="11.5703125" style="125" customWidth="1"/>
    <col min="1727" max="1727" width="9.85546875" style="125" bestFit="1" customWidth="1"/>
    <col min="1728" max="1728" width="8.28515625" style="125" bestFit="1" customWidth="1"/>
    <col min="1729" max="1730" width="9.85546875" style="125" bestFit="1" customWidth="1"/>
    <col min="1731" max="1732" width="10.5703125" style="125" customWidth="1"/>
    <col min="1733" max="1733" width="10.7109375" style="125" bestFit="1" customWidth="1"/>
    <col min="1734" max="1970" width="9.140625" style="125"/>
    <col min="1971" max="1971" width="47.85546875" style="125" bestFit="1" customWidth="1"/>
    <col min="1972" max="1972" width="10.7109375" style="125" bestFit="1" customWidth="1"/>
    <col min="1973" max="1973" width="9.85546875" style="125" bestFit="1" customWidth="1"/>
    <col min="1974" max="1975" width="10.7109375" style="125" bestFit="1" customWidth="1"/>
    <col min="1976" max="1977" width="9.85546875" style="125" bestFit="1" customWidth="1"/>
    <col min="1978" max="1978" width="8.7109375" style="125" bestFit="1" customWidth="1"/>
    <col min="1979" max="1980" width="9.85546875" style="125" bestFit="1" customWidth="1"/>
    <col min="1981" max="1981" width="6.85546875" style="125" bestFit="1" customWidth="1"/>
    <col min="1982" max="1982" width="11.5703125" style="125" customWidth="1"/>
    <col min="1983" max="1983" width="9.85546875" style="125" bestFit="1" customWidth="1"/>
    <col min="1984" max="1984" width="8.28515625" style="125" bestFit="1" customWidth="1"/>
    <col min="1985" max="1986" width="9.85546875" style="125" bestFit="1" customWidth="1"/>
    <col min="1987" max="1988" width="10.5703125" style="125" customWidth="1"/>
    <col min="1989" max="1989" width="10.7109375" style="125" bestFit="1" customWidth="1"/>
    <col min="1990" max="2226" width="9.140625" style="125"/>
    <col min="2227" max="2227" width="47.85546875" style="125" bestFit="1" customWidth="1"/>
    <col min="2228" max="2228" width="10.7109375" style="125" bestFit="1" customWidth="1"/>
    <col min="2229" max="2229" width="9.85546875" style="125" bestFit="1" customWidth="1"/>
    <col min="2230" max="2231" width="10.7109375" style="125" bestFit="1" customWidth="1"/>
    <col min="2232" max="2233" width="9.85546875" style="125" bestFit="1" customWidth="1"/>
    <col min="2234" max="2234" width="8.7109375" style="125" bestFit="1" customWidth="1"/>
    <col min="2235" max="2236" width="9.85546875" style="125" bestFit="1" customWidth="1"/>
    <col min="2237" max="2237" width="6.85546875" style="125" bestFit="1" customWidth="1"/>
    <col min="2238" max="2238" width="11.5703125" style="125" customWidth="1"/>
    <col min="2239" max="2239" width="9.85546875" style="125" bestFit="1" customWidth="1"/>
    <col min="2240" max="2240" width="8.28515625" style="125" bestFit="1" customWidth="1"/>
    <col min="2241" max="2242" width="9.85546875" style="125" bestFit="1" customWidth="1"/>
    <col min="2243" max="2244" width="10.5703125" style="125" customWidth="1"/>
    <col min="2245" max="2245" width="10.7109375" style="125" bestFit="1" customWidth="1"/>
    <col min="2246" max="2482" width="9.140625" style="125"/>
    <col min="2483" max="2483" width="47.85546875" style="125" bestFit="1" customWidth="1"/>
    <col min="2484" max="2484" width="10.7109375" style="125" bestFit="1" customWidth="1"/>
    <col min="2485" max="2485" width="9.85546875" style="125" bestFit="1" customWidth="1"/>
    <col min="2486" max="2487" width="10.7109375" style="125" bestFit="1" customWidth="1"/>
    <col min="2488" max="2489" width="9.85546875" style="125" bestFit="1" customWidth="1"/>
    <col min="2490" max="2490" width="8.7109375" style="125" bestFit="1" customWidth="1"/>
    <col min="2491" max="2492" width="9.85546875" style="125" bestFit="1" customWidth="1"/>
    <col min="2493" max="2493" width="6.85546875" style="125" bestFit="1" customWidth="1"/>
    <col min="2494" max="2494" width="11.5703125" style="125" customWidth="1"/>
    <col min="2495" max="2495" width="9.85546875" style="125" bestFit="1" customWidth="1"/>
    <col min="2496" max="2496" width="8.28515625" style="125" bestFit="1" customWidth="1"/>
    <col min="2497" max="2498" width="9.85546875" style="125" bestFit="1" customWidth="1"/>
    <col min="2499" max="2500" width="10.5703125" style="125" customWidth="1"/>
    <col min="2501" max="2501" width="10.7109375" style="125" bestFit="1" customWidth="1"/>
    <col min="2502" max="2738" width="9.140625" style="125"/>
    <col min="2739" max="2739" width="47.85546875" style="125" bestFit="1" customWidth="1"/>
    <col min="2740" max="2740" width="10.7109375" style="125" bestFit="1" customWidth="1"/>
    <col min="2741" max="2741" width="9.85546875" style="125" bestFit="1" customWidth="1"/>
    <col min="2742" max="2743" width="10.7109375" style="125" bestFit="1" customWidth="1"/>
    <col min="2744" max="2745" width="9.85546875" style="125" bestFit="1" customWidth="1"/>
    <col min="2746" max="2746" width="8.7109375" style="125" bestFit="1" customWidth="1"/>
    <col min="2747" max="2748" width="9.85546875" style="125" bestFit="1" customWidth="1"/>
    <col min="2749" max="2749" width="6.85546875" style="125" bestFit="1" customWidth="1"/>
    <col min="2750" max="2750" width="11.5703125" style="125" customWidth="1"/>
    <col min="2751" max="2751" width="9.85546875" style="125" bestFit="1" customWidth="1"/>
    <col min="2752" max="2752" width="8.28515625" style="125" bestFit="1" customWidth="1"/>
    <col min="2753" max="2754" width="9.85546875" style="125" bestFit="1" customWidth="1"/>
    <col min="2755" max="2756" width="10.5703125" style="125" customWidth="1"/>
    <col min="2757" max="2757" width="10.7109375" style="125" bestFit="1" customWidth="1"/>
    <col min="2758" max="2994" width="9.140625" style="125"/>
    <col min="2995" max="2995" width="47.85546875" style="125" bestFit="1" customWidth="1"/>
    <col min="2996" max="2996" width="10.7109375" style="125" bestFit="1" customWidth="1"/>
    <col min="2997" max="2997" width="9.85546875" style="125" bestFit="1" customWidth="1"/>
    <col min="2998" max="2999" width="10.7109375" style="125" bestFit="1" customWidth="1"/>
    <col min="3000" max="3001" width="9.85546875" style="125" bestFit="1" customWidth="1"/>
    <col min="3002" max="3002" width="8.7109375" style="125" bestFit="1" customWidth="1"/>
    <col min="3003" max="3004" width="9.85546875" style="125" bestFit="1" customWidth="1"/>
    <col min="3005" max="3005" width="6.85546875" style="125" bestFit="1" customWidth="1"/>
    <col min="3006" max="3006" width="11.5703125" style="125" customWidth="1"/>
    <col min="3007" max="3007" width="9.85546875" style="125" bestFit="1" customWidth="1"/>
    <col min="3008" max="3008" width="8.28515625" style="125" bestFit="1" customWidth="1"/>
    <col min="3009" max="3010" width="9.85546875" style="125" bestFit="1" customWidth="1"/>
    <col min="3011" max="3012" width="10.5703125" style="125" customWidth="1"/>
    <col min="3013" max="3013" width="10.7109375" style="125" bestFit="1" customWidth="1"/>
    <col min="3014" max="3250" width="9.140625" style="125"/>
    <col min="3251" max="3251" width="47.85546875" style="125" bestFit="1" customWidth="1"/>
    <col min="3252" max="3252" width="10.7109375" style="125" bestFit="1" customWidth="1"/>
    <col min="3253" max="3253" width="9.85546875" style="125" bestFit="1" customWidth="1"/>
    <col min="3254" max="3255" width="10.7109375" style="125" bestFit="1" customWidth="1"/>
    <col min="3256" max="3257" width="9.85546875" style="125" bestFit="1" customWidth="1"/>
    <col min="3258" max="3258" width="8.7109375" style="125" bestFit="1" customWidth="1"/>
    <col min="3259" max="3260" width="9.85546875" style="125" bestFit="1" customWidth="1"/>
    <col min="3261" max="3261" width="6.85546875" style="125" bestFit="1" customWidth="1"/>
    <col min="3262" max="3262" width="11.5703125" style="125" customWidth="1"/>
    <col min="3263" max="3263" width="9.85546875" style="125" bestFit="1" customWidth="1"/>
    <col min="3264" max="3264" width="8.28515625" style="125" bestFit="1" customWidth="1"/>
    <col min="3265" max="3266" width="9.85546875" style="125" bestFit="1" customWidth="1"/>
    <col min="3267" max="3268" width="10.5703125" style="125" customWidth="1"/>
    <col min="3269" max="3269" width="10.7109375" style="125" bestFit="1" customWidth="1"/>
    <col min="3270" max="3506" width="9.140625" style="125"/>
    <col min="3507" max="3507" width="47.85546875" style="125" bestFit="1" customWidth="1"/>
    <col min="3508" max="3508" width="10.7109375" style="125" bestFit="1" customWidth="1"/>
    <col min="3509" max="3509" width="9.85546875" style="125" bestFit="1" customWidth="1"/>
    <col min="3510" max="3511" width="10.7109375" style="125" bestFit="1" customWidth="1"/>
    <col min="3512" max="3513" width="9.85546875" style="125" bestFit="1" customWidth="1"/>
    <col min="3514" max="3514" width="8.7109375" style="125" bestFit="1" customWidth="1"/>
    <col min="3515" max="3516" width="9.85546875" style="125" bestFit="1" customWidth="1"/>
    <col min="3517" max="3517" width="6.85546875" style="125" bestFit="1" customWidth="1"/>
    <col min="3518" max="3518" width="11.5703125" style="125" customWidth="1"/>
    <col min="3519" max="3519" width="9.85546875" style="125" bestFit="1" customWidth="1"/>
    <col min="3520" max="3520" width="8.28515625" style="125" bestFit="1" customWidth="1"/>
    <col min="3521" max="3522" width="9.85546875" style="125" bestFit="1" customWidth="1"/>
    <col min="3523" max="3524" width="10.5703125" style="125" customWidth="1"/>
    <col min="3525" max="3525" width="10.7109375" style="125" bestFit="1" customWidth="1"/>
    <col min="3526" max="3762" width="9.140625" style="125"/>
    <col min="3763" max="3763" width="47.85546875" style="125" bestFit="1" customWidth="1"/>
    <col min="3764" max="3764" width="10.7109375" style="125" bestFit="1" customWidth="1"/>
    <col min="3765" max="3765" width="9.85546875" style="125" bestFit="1" customWidth="1"/>
    <col min="3766" max="3767" width="10.7109375" style="125" bestFit="1" customWidth="1"/>
    <col min="3768" max="3769" width="9.85546875" style="125" bestFit="1" customWidth="1"/>
    <col min="3770" max="3770" width="8.7109375" style="125" bestFit="1" customWidth="1"/>
    <col min="3771" max="3772" width="9.85546875" style="125" bestFit="1" customWidth="1"/>
    <col min="3773" max="3773" width="6.85546875" style="125" bestFit="1" customWidth="1"/>
    <col min="3774" max="3774" width="11.5703125" style="125" customWidth="1"/>
    <col min="3775" max="3775" width="9.85546875" style="125" bestFit="1" customWidth="1"/>
    <col min="3776" max="3776" width="8.28515625" style="125" bestFit="1" customWidth="1"/>
    <col min="3777" max="3778" width="9.85546875" style="125" bestFit="1" customWidth="1"/>
    <col min="3779" max="3780" width="10.5703125" style="125" customWidth="1"/>
    <col min="3781" max="3781" width="10.7109375" style="125" bestFit="1" customWidth="1"/>
    <col min="3782" max="4018" width="9.140625" style="125"/>
    <col min="4019" max="4019" width="47.85546875" style="125" bestFit="1" customWidth="1"/>
    <col min="4020" max="4020" width="10.7109375" style="125" bestFit="1" customWidth="1"/>
    <col min="4021" max="4021" width="9.85546875" style="125" bestFit="1" customWidth="1"/>
    <col min="4022" max="4023" width="10.7109375" style="125" bestFit="1" customWidth="1"/>
    <col min="4024" max="4025" width="9.85546875" style="125" bestFit="1" customWidth="1"/>
    <col min="4026" max="4026" width="8.7109375" style="125" bestFit="1" customWidth="1"/>
    <col min="4027" max="4028" width="9.85546875" style="125" bestFit="1" customWidth="1"/>
    <col min="4029" max="4029" width="6.85546875" style="125" bestFit="1" customWidth="1"/>
    <col min="4030" max="4030" width="11.5703125" style="125" customWidth="1"/>
    <col min="4031" max="4031" width="9.85546875" style="125" bestFit="1" customWidth="1"/>
    <col min="4032" max="4032" width="8.28515625" style="125" bestFit="1" customWidth="1"/>
    <col min="4033" max="4034" width="9.85546875" style="125" bestFit="1" customWidth="1"/>
    <col min="4035" max="4036" width="10.5703125" style="125" customWidth="1"/>
    <col min="4037" max="4037" width="10.7109375" style="125" bestFit="1" customWidth="1"/>
    <col min="4038" max="4274" width="9.140625" style="125"/>
    <col min="4275" max="4275" width="47.85546875" style="125" bestFit="1" customWidth="1"/>
    <col min="4276" max="4276" width="10.7109375" style="125" bestFit="1" customWidth="1"/>
    <col min="4277" max="4277" width="9.85546875" style="125" bestFit="1" customWidth="1"/>
    <col min="4278" max="4279" width="10.7109375" style="125" bestFit="1" customWidth="1"/>
    <col min="4280" max="4281" width="9.85546875" style="125" bestFit="1" customWidth="1"/>
    <col min="4282" max="4282" width="8.7109375" style="125" bestFit="1" customWidth="1"/>
    <col min="4283" max="4284" width="9.85546875" style="125" bestFit="1" customWidth="1"/>
    <col min="4285" max="4285" width="6.85546875" style="125" bestFit="1" customWidth="1"/>
    <col min="4286" max="4286" width="11.5703125" style="125" customWidth="1"/>
    <col min="4287" max="4287" width="9.85546875" style="125" bestFit="1" customWidth="1"/>
    <col min="4288" max="4288" width="8.28515625" style="125" bestFit="1" customWidth="1"/>
    <col min="4289" max="4290" width="9.85546875" style="125" bestFit="1" customWidth="1"/>
    <col min="4291" max="4292" width="10.5703125" style="125" customWidth="1"/>
    <col min="4293" max="4293" width="10.7109375" style="125" bestFit="1" customWidth="1"/>
    <col min="4294" max="4530" width="9.140625" style="125"/>
    <col min="4531" max="4531" width="47.85546875" style="125" bestFit="1" customWidth="1"/>
    <col min="4532" max="4532" width="10.7109375" style="125" bestFit="1" customWidth="1"/>
    <col min="4533" max="4533" width="9.85546875" style="125" bestFit="1" customWidth="1"/>
    <col min="4534" max="4535" width="10.7109375" style="125" bestFit="1" customWidth="1"/>
    <col min="4536" max="4537" width="9.85546875" style="125" bestFit="1" customWidth="1"/>
    <col min="4538" max="4538" width="8.7109375" style="125" bestFit="1" customWidth="1"/>
    <col min="4539" max="4540" width="9.85546875" style="125" bestFit="1" customWidth="1"/>
    <col min="4541" max="4541" width="6.85546875" style="125" bestFit="1" customWidth="1"/>
    <col min="4542" max="4542" width="11.5703125" style="125" customWidth="1"/>
    <col min="4543" max="4543" width="9.85546875" style="125" bestFit="1" customWidth="1"/>
    <col min="4544" max="4544" width="8.28515625" style="125" bestFit="1" customWidth="1"/>
    <col min="4545" max="4546" width="9.85546875" style="125" bestFit="1" customWidth="1"/>
    <col min="4547" max="4548" width="10.5703125" style="125" customWidth="1"/>
    <col min="4549" max="4549" width="10.7109375" style="125" bestFit="1" customWidth="1"/>
    <col min="4550" max="4786" width="9.140625" style="125"/>
    <col min="4787" max="4787" width="47.85546875" style="125" bestFit="1" customWidth="1"/>
    <col min="4788" max="4788" width="10.7109375" style="125" bestFit="1" customWidth="1"/>
    <col min="4789" max="4789" width="9.85546875" style="125" bestFit="1" customWidth="1"/>
    <col min="4790" max="4791" width="10.7109375" style="125" bestFit="1" customWidth="1"/>
    <col min="4792" max="4793" width="9.85546875" style="125" bestFit="1" customWidth="1"/>
    <col min="4794" max="4794" width="8.7109375" style="125" bestFit="1" customWidth="1"/>
    <col min="4795" max="4796" width="9.85546875" style="125" bestFit="1" customWidth="1"/>
    <col min="4797" max="4797" width="6.85546875" style="125" bestFit="1" customWidth="1"/>
    <col min="4798" max="4798" width="11.5703125" style="125" customWidth="1"/>
    <col min="4799" max="4799" width="9.85546875" style="125" bestFit="1" customWidth="1"/>
    <col min="4800" max="4800" width="8.28515625" style="125" bestFit="1" customWidth="1"/>
    <col min="4801" max="4802" width="9.85546875" style="125" bestFit="1" customWidth="1"/>
    <col min="4803" max="4804" width="10.5703125" style="125" customWidth="1"/>
    <col min="4805" max="4805" width="10.7109375" style="125" bestFit="1" customWidth="1"/>
    <col min="4806" max="5042" width="9.140625" style="125"/>
    <col min="5043" max="5043" width="47.85546875" style="125" bestFit="1" customWidth="1"/>
    <col min="5044" max="5044" width="10.7109375" style="125" bestFit="1" customWidth="1"/>
    <col min="5045" max="5045" width="9.85546875" style="125" bestFit="1" customWidth="1"/>
    <col min="5046" max="5047" width="10.7109375" style="125" bestFit="1" customWidth="1"/>
    <col min="5048" max="5049" width="9.85546875" style="125" bestFit="1" customWidth="1"/>
    <col min="5050" max="5050" width="8.7109375" style="125" bestFit="1" customWidth="1"/>
    <col min="5051" max="5052" width="9.85546875" style="125" bestFit="1" customWidth="1"/>
    <col min="5053" max="5053" width="6.85546875" style="125" bestFit="1" customWidth="1"/>
    <col min="5054" max="5054" width="11.5703125" style="125" customWidth="1"/>
    <col min="5055" max="5055" width="9.85546875" style="125" bestFit="1" customWidth="1"/>
    <col min="5056" max="5056" width="8.28515625" style="125" bestFit="1" customWidth="1"/>
    <col min="5057" max="5058" width="9.85546875" style="125" bestFit="1" customWidth="1"/>
    <col min="5059" max="5060" width="10.5703125" style="125" customWidth="1"/>
    <col min="5061" max="5061" width="10.7109375" style="125" bestFit="1" customWidth="1"/>
    <col min="5062" max="5298" width="9.140625" style="125"/>
    <col min="5299" max="5299" width="47.85546875" style="125" bestFit="1" customWidth="1"/>
    <col min="5300" max="5300" width="10.7109375" style="125" bestFit="1" customWidth="1"/>
    <col min="5301" max="5301" width="9.85546875" style="125" bestFit="1" customWidth="1"/>
    <col min="5302" max="5303" width="10.7109375" style="125" bestFit="1" customWidth="1"/>
    <col min="5304" max="5305" width="9.85546875" style="125" bestFit="1" customWidth="1"/>
    <col min="5306" max="5306" width="8.7109375" style="125" bestFit="1" customWidth="1"/>
    <col min="5307" max="5308" width="9.85546875" style="125" bestFit="1" customWidth="1"/>
    <col min="5309" max="5309" width="6.85546875" style="125" bestFit="1" customWidth="1"/>
    <col min="5310" max="5310" width="11.5703125" style="125" customWidth="1"/>
    <col min="5311" max="5311" width="9.85546875" style="125" bestFit="1" customWidth="1"/>
    <col min="5312" max="5312" width="8.28515625" style="125" bestFit="1" customWidth="1"/>
    <col min="5313" max="5314" width="9.85546875" style="125" bestFit="1" customWidth="1"/>
    <col min="5315" max="5316" width="10.5703125" style="125" customWidth="1"/>
    <col min="5317" max="5317" width="10.7109375" style="125" bestFit="1" customWidth="1"/>
    <col min="5318" max="5554" width="9.140625" style="125"/>
    <col min="5555" max="5555" width="47.85546875" style="125" bestFit="1" customWidth="1"/>
    <col min="5556" max="5556" width="10.7109375" style="125" bestFit="1" customWidth="1"/>
    <col min="5557" max="5557" width="9.85546875" style="125" bestFit="1" customWidth="1"/>
    <col min="5558" max="5559" width="10.7109375" style="125" bestFit="1" customWidth="1"/>
    <col min="5560" max="5561" width="9.85546875" style="125" bestFit="1" customWidth="1"/>
    <col min="5562" max="5562" width="8.7109375" style="125" bestFit="1" customWidth="1"/>
    <col min="5563" max="5564" width="9.85546875" style="125" bestFit="1" customWidth="1"/>
    <col min="5565" max="5565" width="6.85546875" style="125" bestFit="1" customWidth="1"/>
    <col min="5566" max="5566" width="11.5703125" style="125" customWidth="1"/>
    <col min="5567" max="5567" width="9.85546875" style="125" bestFit="1" customWidth="1"/>
    <col min="5568" max="5568" width="8.28515625" style="125" bestFit="1" customWidth="1"/>
    <col min="5569" max="5570" width="9.85546875" style="125" bestFit="1" customWidth="1"/>
    <col min="5571" max="5572" width="10.5703125" style="125" customWidth="1"/>
    <col min="5573" max="5573" width="10.7109375" style="125" bestFit="1" customWidth="1"/>
    <col min="5574" max="5810" width="9.140625" style="125"/>
    <col min="5811" max="5811" width="47.85546875" style="125" bestFit="1" customWidth="1"/>
    <col min="5812" max="5812" width="10.7109375" style="125" bestFit="1" customWidth="1"/>
    <col min="5813" max="5813" width="9.85546875" style="125" bestFit="1" customWidth="1"/>
    <col min="5814" max="5815" width="10.7109375" style="125" bestFit="1" customWidth="1"/>
    <col min="5816" max="5817" width="9.85546875" style="125" bestFit="1" customWidth="1"/>
    <col min="5818" max="5818" width="8.7109375" style="125" bestFit="1" customWidth="1"/>
    <col min="5819" max="5820" width="9.85546875" style="125" bestFit="1" customWidth="1"/>
    <col min="5821" max="5821" width="6.85546875" style="125" bestFit="1" customWidth="1"/>
    <col min="5822" max="5822" width="11.5703125" style="125" customWidth="1"/>
    <col min="5823" max="5823" width="9.85546875" style="125" bestFit="1" customWidth="1"/>
    <col min="5824" max="5824" width="8.28515625" style="125" bestFit="1" customWidth="1"/>
    <col min="5825" max="5826" width="9.85546875" style="125" bestFit="1" customWidth="1"/>
    <col min="5827" max="5828" width="10.5703125" style="125" customWidth="1"/>
    <col min="5829" max="5829" width="10.7109375" style="125" bestFit="1" customWidth="1"/>
    <col min="5830" max="6066" width="9.140625" style="125"/>
    <col min="6067" max="6067" width="47.85546875" style="125" bestFit="1" customWidth="1"/>
    <col min="6068" max="6068" width="10.7109375" style="125" bestFit="1" customWidth="1"/>
    <col min="6069" max="6069" width="9.85546875" style="125" bestFit="1" customWidth="1"/>
    <col min="6070" max="6071" width="10.7109375" style="125" bestFit="1" customWidth="1"/>
    <col min="6072" max="6073" width="9.85546875" style="125" bestFit="1" customWidth="1"/>
    <col min="6074" max="6074" width="8.7109375" style="125" bestFit="1" customWidth="1"/>
    <col min="6075" max="6076" width="9.85546875" style="125" bestFit="1" customWidth="1"/>
    <col min="6077" max="6077" width="6.85546875" style="125" bestFit="1" customWidth="1"/>
    <col min="6078" max="6078" width="11.5703125" style="125" customWidth="1"/>
    <col min="6079" max="6079" width="9.85546875" style="125" bestFit="1" customWidth="1"/>
    <col min="6080" max="6080" width="8.28515625" style="125" bestFit="1" customWidth="1"/>
    <col min="6081" max="6082" width="9.85546875" style="125" bestFit="1" customWidth="1"/>
    <col min="6083" max="6084" width="10.5703125" style="125" customWidth="1"/>
    <col min="6085" max="6085" width="10.7109375" style="125" bestFit="1" customWidth="1"/>
    <col min="6086" max="6322" width="9.140625" style="125"/>
    <col min="6323" max="6323" width="47.85546875" style="125" bestFit="1" customWidth="1"/>
    <col min="6324" max="6324" width="10.7109375" style="125" bestFit="1" customWidth="1"/>
    <col min="6325" max="6325" width="9.85546875" style="125" bestFit="1" customWidth="1"/>
    <col min="6326" max="6327" width="10.7109375" style="125" bestFit="1" customWidth="1"/>
    <col min="6328" max="6329" width="9.85546875" style="125" bestFit="1" customWidth="1"/>
    <col min="6330" max="6330" width="8.7109375" style="125" bestFit="1" customWidth="1"/>
    <col min="6331" max="6332" width="9.85546875" style="125" bestFit="1" customWidth="1"/>
    <col min="6333" max="6333" width="6.85546875" style="125" bestFit="1" customWidth="1"/>
    <col min="6334" max="6334" width="11.5703125" style="125" customWidth="1"/>
    <col min="6335" max="6335" width="9.85546875" style="125" bestFit="1" customWidth="1"/>
    <col min="6336" max="6336" width="8.28515625" style="125" bestFit="1" customWidth="1"/>
    <col min="6337" max="6338" width="9.85546875" style="125" bestFit="1" customWidth="1"/>
    <col min="6339" max="6340" width="10.5703125" style="125" customWidth="1"/>
    <col min="6341" max="6341" width="10.7109375" style="125" bestFit="1" customWidth="1"/>
    <col min="6342" max="6578" width="9.140625" style="125"/>
    <col min="6579" max="6579" width="47.85546875" style="125" bestFit="1" customWidth="1"/>
    <col min="6580" max="6580" width="10.7109375" style="125" bestFit="1" customWidth="1"/>
    <col min="6581" max="6581" width="9.85546875" style="125" bestFit="1" customWidth="1"/>
    <col min="6582" max="6583" width="10.7109375" style="125" bestFit="1" customWidth="1"/>
    <col min="6584" max="6585" width="9.85546875" style="125" bestFit="1" customWidth="1"/>
    <col min="6586" max="6586" width="8.7109375" style="125" bestFit="1" customWidth="1"/>
    <col min="6587" max="6588" width="9.85546875" style="125" bestFit="1" customWidth="1"/>
    <col min="6589" max="6589" width="6.85546875" style="125" bestFit="1" customWidth="1"/>
    <col min="6590" max="6590" width="11.5703125" style="125" customWidth="1"/>
    <col min="6591" max="6591" width="9.85546875" style="125" bestFit="1" customWidth="1"/>
    <col min="6592" max="6592" width="8.28515625" style="125" bestFit="1" customWidth="1"/>
    <col min="6593" max="6594" width="9.85546875" style="125" bestFit="1" customWidth="1"/>
    <col min="6595" max="6596" width="10.5703125" style="125" customWidth="1"/>
    <col min="6597" max="6597" width="10.7109375" style="125" bestFit="1" customWidth="1"/>
    <col min="6598" max="6834" width="9.140625" style="125"/>
    <col min="6835" max="6835" width="47.85546875" style="125" bestFit="1" customWidth="1"/>
    <col min="6836" max="6836" width="10.7109375" style="125" bestFit="1" customWidth="1"/>
    <col min="6837" max="6837" width="9.85546875" style="125" bestFit="1" customWidth="1"/>
    <col min="6838" max="6839" width="10.7109375" style="125" bestFit="1" customWidth="1"/>
    <col min="6840" max="6841" width="9.85546875" style="125" bestFit="1" customWidth="1"/>
    <col min="6842" max="6842" width="8.7109375" style="125" bestFit="1" customWidth="1"/>
    <col min="6843" max="6844" width="9.85546875" style="125" bestFit="1" customWidth="1"/>
    <col min="6845" max="6845" width="6.85546875" style="125" bestFit="1" customWidth="1"/>
    <col min="6846" max="6846" width="11.5703125" style="125" customWidth="1"/>
    <col min="6847" max="6847" width="9.85546875" style="125" bestFit="1" customWidth="1"/>
    <col min="6848" max="6848" width="8.28515625" style="125" bestFit="1" customWidth="1"/>
    <col min="6849" max="6850" width="9.85546875" style="125" bestFit="1" customWidth="1"/>
    <col min="6851" max="6852" width="10.5703125" style="125" customWidth="1"/>
    <col min="6853" max="6853" width="10.7109375" style="125" bestFit="1" customWidth="1"/>
    <col min="6854" max="7090" width="9.140625" style="125"/>
    <col min="7091" max="7091" width="47.85546875" style="125" bestFit="1" customWidth="1"/>
    <col min="7092" max="7092" width="10.7109375" style="125" bestFit="1" customWidth="1"/>
    <col min="7093" max="7093" width="9.85546875" style="125" bestFit="1" customWidth="1"/>
    <col min="7094" max="7095" width="10.7109375" style="125" bestFit="1" customWidth="1"/>
    <col min="7096" max="7097" width="9.85546875" style="125" bestFit="1" customWidth="1"/>
    <col min="7098" max="7098" width="8.7109375" style="125" bestFit="1" customWidth="1"/>
    <col min="7099" max="7100" width="9.85546875" style="125" bestFit="1" customWidth="1"/>
    <col min="7101" max="7101" width="6.85546875" style="125" bestFit="1" customWidth="1"/>
    <col min="7102" max="7102" width="11.5703125" style="125" customWidth="1"/>
    <col min="7103" max="7103" width="9.85546875" style="125" bestFit="1" customWidth="1"/>
    <col min="7104" max="7104" width="8.28515625" style="125" bestFit="1" customWidth="1"/>
    <col min="7105" max="7106" width="9.85546875" style="125" bestFit="1" customWidth="1"/>
    <col min="7107" max="7108" width="10.5703125" style="125" customWidth="1"/>
    <col min="7109" max="7109" width="10.7109375" style="125" bestFit="1" customWidth="1"/>
    <col min="7110" max="7346" width="9.140625" style="125"/>
    <col min="7347" max="7347" width="47.85546875" style="125" bestFit="1" customWidth="1"/>
    <col min="7348" max="7348" width="10.7109375" style="125" bestFit="1" customWidth="1"/>
    <col min="7349" max="7349" width="9.85546875" style="125" bestFit="1" customWidth="1"/>
    <col min="7350" max="7351" width="10.7109375" style="125" bestFit="1" customWidth="1"/>
    <col min="7352" max="7353" width="9.85546875" style="125" bestFit="1" customWidth="1"/>
    <col min="7354" max="7354" width="8.7109375" style="125" bestFit="1" customWidth="1"/>
    <col min="7355" max="7356" width="9.85546875" style="125" bestFit="1" customWidth="1"/>
    <col min="7357" max="7357" width="6.85546875" style="125" bestFit="1" customWidth="1"/>
    <col min="7358" max="7358" width="11.5703125" style="125" customWidth="1"/>
    <col min="7359" max="7359" width="9.85546875" style="125" bestFit="1" customWidth="1"/>
    <col min="7360" max="7360" width="8.28515625" style="125" bestFit="1" customWidth="1"/>
    <col min="7361" max="7362" width="9.85546875" style="125" bestFit="1" customWidth="1"/>
    <col min="7363" max="7364" width="10.5703125" style="125" customWidth="1"/>
    <col min="7365" max="7365" width="10.7109375" style="125" bestFit="1" customWidth="1"/>
    <col min="7366" max="7602" width="9.140625" style="125"/>
    <col min="7603" max="7603" width="47.85546875" style="125" bestFit="1" customWidth="1"/>
    <col min="7604" max="7604" width="10.7109375" style="125" bestFit="1" customWidth="1"/>
    <col min="7605" max="7605" width="9.85546875" style="125" bestFit="1" customWidth="1"/>
    <col min="7606" max="7607" width="10.7109375" style="125" bestFit="1" customWidth="1"/>
    <col min="7608" max="7609" width="9.85546875" style="125" bestFit="1" customWidth="1"/>
    <col min="7610" max="7610" width="8.7109375" style="125" bestFit="1" customWidth="1"/>
    <col min="7611" max="7612" width="9.85546875" style="125" bestFit="1" customWidth="1"/>
    <col min="7613" max="7613" width="6.85546875" style="125" bestFit="1" customWidth="1"/>
    <col min="7614" max="7614" width="11.5703125" style="125" customWidth="1"/>
    <col min="7615" max="7615" width="9.85546875" style="125" bestFit="1" customWidth="1"/>
    <col min="7616" max="7616" width="8.28515625" style="125" bestFit="1" customWidth="1"/>
    <col min="7617" max="7618" width="9.85546875" style="125" bestFit="1" customWidth="1"/>
    <col min="7619" max="7620" width="10.5703125" style="125" customWidth="1"/>
    <col min="7621" max="7621" width="10.7109375" style="125" bestFit="1" customWidth="1"/>
    <col min="7622" max="7858" width="9.140625" style="125"/>
    <col min="7859" max="7859" width="47.85546875" style="125" bestFit="1" customWidth="1"/>
    <col min="7860" max="7860" width="10.7109375" style="125" bestFit="1" customWidth="1"/>
    <col min="7861" max="7861" width="9.85546875" style="125" bestFit="1" customWidth="1"/>
    <col min="7862" max="7863" width="10.7109375" style="125" bestFit="1" customWidth="1"/>
    <col min="7864" max="7865" width="9.85546875" style="125" bestFit="1" customWidth="1"/>
    <col min="7866" max="7866" width="8.7109375" style="125" bestFit="1" customWidth="1"/>
    <col min="7867" max="7868" width="9.85546875" style="125" bestFit="1" customWidth="1"/>
    <col min="7869" max="7869" width="6.85546875" style="125" bestFit="1" customWidth="1"/>
    <col min="7870" max="7870" width="11.5703125" style="125" customWidth="1"/>
    <col min="7871" max="7871" width="9.85546875" style="125" bestFit="1" customWidth="1"/>
    <col min="7872" max="7872" width="8.28515625" style="125" bestFit="1" customWidth="1"/>
    <col min="7873" max="7874" width="9.85546875" style="125" bestFit="1" customWidth="1"/>
    <col min="7875" max="7876" width="10.5703125" style="125" customWidth="1"/>
    <col min="7877" max="7877" width="10.7109375" style="125" bestFit="1" customWidth="1"/>
    <col min="7878" max="8114" width="9.140625" style="125"/>
    <col min="8115" max="8115" width="47.85546875" style="125" bestFit="1" customWidth="1"/>
    <col min="8116" max="8116" width="10.7109375" style="125" bestFit="1" customWidth="1"/>
    <col min="8117" max="8117" width="9.85546875" style="125" bestFit="1" customWidth="1"/>
    <col min="8118" max="8119" width="10.7109375" style="125" bestFit="1" customWidth="1"/>
    <col min="8120" max="8121" width="9.85546875" style="125" bestFit="1" customWidth="1"/>
    <col min="8122" max="8122" width="8.7109375" style="125" bestFit="1" customWidth="1"/>
    <col min="8123" max="8124" width="9.85546875" style="125" bestFit="1" customWidth="1"/>
    <col min="8125" max="8125" width="6.85546875" style="125" bestFit="1" customWidth="1"/>
    <col min="8126" max="8126" width="11.5703125" style="125" customWidth="1"/>
    <col min="8127" max="8127" width="9.85546875" style="125" bestFit="1" customWidth="1"/>
    <col min="8128" max="8128" width="8.28515625" style="125" bestFit="1" customWidth="1"/>
    <col min="8129" max="8130" width="9.85546875" style="125" bestFit="1" customWidth="1"/>
    <col min="8131" max="8132" width="10.5703125" style="125" customWidth="1"/>
    <col min="8133" max="8133" width="10.7109375" style="125" bestFit="1" customWidth="1"/>
    <col min="8134" max="8370" width="9.140625" style="125"/>
    <col min="8371" max="8371" width="47.85546875" style="125" bestFit="1" customWidth="1"/>
    <col min="8372" max="8372" width="10.7109375" style="125" bestFit="1" customWidth="1"/>
    <col min="8373" max="8373" width="9.85546875" style="125" bestFit="1" customWidth="1"/>
    <col min="8374" max="8375" width="10.7109375" style="125" bestFit="1" customWidth="1"/>
    <col min="8376" max="8377" width="9.85546875" style="125" bestFit="1" customWidth="1"/>
    <col min="8378" max="8378" width="8.7109375" style="125" bestFit="1" customWidth="1"/>
    <col min="8379" max="8380" width="9.85546875" style="125" bestFit="1" customWidth="1"/>
    <col min="8381" max="8381" width="6.85546875" style="125" bestFit="1" customWidth="1"/>
    <col min="8382" max="8382" width="11.5703125" style="125" customWidth="1"/>
    <col min="8383" max="8383" width="9.85546875" style="125" bestFit="1" customWidth="1"/>
    <col min="8384" max="8384" width="8.28515625" style="125" bestFit="1" customWidth="1"/>
    <col min="8385" max="8386" width="9.85546875" style="125" bestFit="1" customWidth="1"/>
    <col min="8387" max="8388" width="10.5703125" style="125" customWidth="1"/>
    <col min="8389" max="8389" width="10.7109375" style="125" bestFit="1" customWidth="1"/>
    <col min="8390" max="8626" width="9.140625" style="125"/>
    <col min="8627" max="8627" width="47.85546875" style="125" bestFit="1" customWidth="1"/>
    <col min="8628" max="8628" width="10.7109375" style="125" bestFit="1" customWidth="1"/>
    <col min="8629" max="8629" width="9.85546875" style="125" bestFit="1" customWidth="1"/>
    <col min="8630" max="8631" width="10.7109375" style="125" bestFit="1" customWidth="1"/>
    <col min="8632" max="8633" width="9.85546875" style="125" bestFit="1" customWidth="1"/>
    <col min="8634" max="8634" width="8.7109375" style="125" bestFit="1" customWidth="1"/>
    <col min="8635" max="8636" width="9.85546875" style="125" bestFit="1" customWidth="1"/>
    <col min="8637" max="8637" width="6.85546875" style="125" bestFit="1" customWidth="1"/>
    <col min="8638" max="8638" width="11.5703125" style="125" customWidth="1"/>
    <col min="8639" max="8639" width="9.85546875" style="125" bestFit="1" customWidth="1"/>
    <col min="8640" max="8640" width="8.28515625" style="125" bestFit="1" customWidth="1"/>
    <col min="8641" max="8642" width="9.85546875" style="125" bestFit="1" customWidth="1"/>
    <col min="8643" max="8644" width="10.5703125" style="125" customWidth="1"/>
    <col min="8645" max="8645" width="10.7109375" style="125" bestFit="1" customWidth="1"/>
    <col min="8646" max="8882" width="9.140625" style="125"/>
    <col min="8883" max="8883" width="47.85546875" style="125" bestFit="1" customWidth="1"/>
    <col min="8884" max="8884" width="10.7109375" style="125" bestFit="1" customWidth="1"/>
    <col min="8885" max="8885" width="9.85546875" style="125" bestFit="1" customWidth="1"/>
    <col min="8886" max="8887" width="10.7109375" style="125" bestFit="1" customWidth="1"/>
    <col min="8888" max="8889" width="9.85546875" style="125" bestFit="1" customWidth="1"/>
    <col min="8890" max="8890" width="8.7109375" style="125" bestFit="1" customWidth="1"/>
    <col min="8891" max="8892" width="9.85546875" style="125" bestFit="1" customWidth="1"/>
    <col min="8893" max="8893" width="6.85546875" style="125" bestFit="1" customWidth="1"/>
    <col min="8894" max="8894" width="11.5703125" style="125" customWidth="1"/>
    <col min="8895" max="8895" width="9.85546875" style="125" bestFit="1" customWidth="1"/>
    <col min="8896" max="8896" width="8.28515625" style="125" bestFit="1" customWidth="1"/>
    <col min="8897" max="8898" width="9.85546875" style="125" bestFit="1" customWidth="1"/>
    <col min="8899" max="8900" width="10.5703125" style="125" customWidth="1"/>
    <col min="8901" max="8901" width="10.7109375" style="125" bestFit="1" customWidth="1"/>
    <col min="8902" max="9138" width="9.140625" style="125"/>
    <col min="9139" max="9139" width="47.85546875" style="125" bestFit="1" customWidth="1"/>
    <col min="9140" max="9140" width="10.7109375" style="125" bestFit="1" customWidth="1"/>
    <col min="9141" max="9141" width="9.85546875" style="125" bestFit="1" customWidth="1"/>
    <col min="9142" max="9143" width="10.7109375" style="125" bestFit="1" customWidth="1"/>
    <col min="9144" max="9145" width="9.85546875" style="125" bestFit="1" customWidth="1"/>
    <col min="9146" max="9146" width="8.7109375" style="125" bestFit="1" customWidth="1"/>
    <col min="9147" max="9148" width="9.85546875" style="125" bestFit="1" customWidth="1"/>
    <col min="9149" max="9149" width="6.85546875" style="125" bestFit="1" customWidth="1"/>
    <col min="9150" max="9150" width="11.5703125" style="125" customWidth="1"/>
    <col min="9151" max="9151" width="9.85546875" style="125" bestFit="1" customWidth="1"/>
    <col min="9152" max="9152" width="8.28515625" style="125" bestFit="1" customWidth="1"/>
    <col min="9153" max="9154" width="9.85546875" style="125" bestFit="1" customWidth="1"/>
    <col min="9155" max="9156" width="10.5703125" style="125" customWidth="1"/>
    <col min="9157" max="9157" width="10.7109375" style="125" bestFit="1" customWidth="1"/>
    <col min="9158" max="9394" width="9.140625" style="125"/>
    <col min="9395" max="9395" width="47.85546875" style="125" bestFit="1" customWidth="1"/>
    <col min="9396" max="9396" width="10.7109375" style="125" bestFit="1" customWidth="1"/>
    <col min="9397" max="9397" width="9.85546875" style="125" bestFit="1" customWidth="1"/>
    <col min="9398" max="9399" width="10.7109375" style="125" bestFit="1" customWidth="1"/>
    <col min="9400" max="9401" width="9.85546875" style="125" bestFit="1" customWidth="1"/>
    <col min="9402" max="9402" width="8.7109375" style="125" bestFit="1" customWidth="1"/>
    <col min="9403" max="9404" width="9.85546875" style="125" bestFit="1" customWidth="1"/>
    <col min="9405" max="9405" width="6.85546875" style="125" bestFit="1" customWidth="1"/>
    <col min="9406" max="9406" width="11.5703125" style="125" customWidth="1"/>
    <col min="9407" max="9407" width="9.85546875" style="125" bestFit="1" customWidth="1"/>
    <col min="9408" max="9408" width="8.28515625" style="125" bestFit="1" customWidth="1"/>
    <col min="9409" max="9410" width="9.85546875" style="125" bestFit="1" customWidth="1"/>
    <col min="9411" max="9412" width="10.5703125" style="125" customWidth="1"/>
    <col min="9413" max="9413" width="10.7109375" style="125" bestFit="1" customWidth="1"/>
    <col min="9414" max="9650" width="9.140625" style="125"/>
    <col min="9651" max="9651" width="47.85546875" style="125" bestFit="1" customWidth="1"/>
    <col min="9652" max="9652" width="10.7109375" style="125" bestFit="1" customWidth="1"/>
    <col min="9653" max="9653" width="9.85546875" style="125" bestFit="1" customWidth="1"/>
    <col min="9654" max="9655" width="10.7109375" style="125" bestFit="1" customWidth="1"/>
    <col min="9656" max="9657" width="9.85546875" style="125" bestFit="1" customWidth="1"/>
    <col min="9658" max="9658" width="8.7109375" style="125" bestFit="1" customWidth="1"/>
    <col min="9659" max="9660" width="9.85546875" style="125" bestFit="1" customWidth="1"/>
    <col min="9661" max="9661" width="6.85546875" style="125" bestFit="1" customWidth="1"/>
    <col min="9662" max="9662" width="11.5703125" style="125" customWidth="1"/>
    <col min="9663" max="9663" width="9.85546875" style="125" bestFit="1" customWidth="1"/>
    <col min="9664" max="9664" width="8.28515625" style="125" bestFit="1" customWidth="1"/>
    <col min="9665" max="9666" width="9.85546875" style="125" bestFit="1" customWidth="1"/>
    <col min="9667" max="9668" width="10.5703125" style="125" customWidth="1"/>
    <col min="9669" max="9669" width="10.7109375" style="125" bestFit="1" customWidth="1"/>
    <col min="9670" max="9906" width="9.140625" style="125"/>
    <col min="9907" max="9907" width="47.85546875" style="125" bestFit="1" customWidth="1"/>
    <col min="9908" max="9908" width="10.7109375" style="125" bestFit="1" customWidth="1"/>
    <col min="9909" max="9909" width="9.85546875" style="125" bestFit="1" customWidth="1"/>
    <col min="9910" max="9911" width="10.7109375" style="125" bestFit="1" customWidth="1"/>
    <col min="9912" max="9913" width="9.85546875" style="125" bestFit="1" customWidth="1"/>
    <col min="9914" max="9914" width="8.7109375" style="125" bestFit="1" customWidth="1"/>
    <col min="9915" max="9916" width="9.85546875" style="125" bestFit="1" customWidth="1"/>
    <col min="9917" max="9917" width="6.85546875" style="125" bestFit="1" customWidth="1"/>
    <col min="9918" max="9918" width="11.5703125" style="125" customWidth="1"/>
    <col min="9919" max="9919" width="9.85546875" style="125" bestFit="1" customWidth="1"/>
    <col min="9920" max="9920" width="8.28515625" style="125" bestFit="1" customWidth="1"/>
    <col min="9921" max="9922" width="9.85546875" style="125" bestFit="1" customWidth="1"/>
    <col min="9923" max="9924" width="10.5703125" style="125" customWidth="1"/>
    <col min="9925" max="9925" width="10.7109375" style="125" bestFit="1" customWidth="1"/>
    <col min="9926" max="10162" width="9.140625" style="125"/>
    <col min="10163" max="10163" width="47.85546875" style="125" bestFit="1" customWidth="1"/>
    <col min="10164" max="10164" width="10.7109375" style="125" bestFit="1" customWidth="1"/>
    <col min="10165" max="10165" width="9.85546875" style="125" bestFit="1" customWidth="1"/>
    <col min="10166" max="10167" width="10.7109375" style="125" bestFit="1" customWidth="1"/>
    <col min="10168" max="10169" width="9.85546875" style="125" bestFit="1" customWidth="1"/>
    <col min="10170" max="10170" width="8.7109375" style="125" bestFit="1" customWidth="1"/>
    <col min="10171" max="10172" width="9.85546875" style="125" bestFit="1" customWidth="1"/>
    <col min="10173" max="10173" width="6.85546875" style="125" bestFit="1" customWidth="1"/>
    <col min="10174" max="10174" width="11.5703125" style="125" customWidth="1"/>
    <col min="10175" max="10175" width="9.85546875" style="125" bestFit="1" customWidth="1"/>
    <col min="10176" max="10176" width="8.28515625" style="125" bestFit="1" customWidth="1"/>
    <col min="10177" max="10178" width="9.85546875" style="125" bestFit="1" customWidth="1"/>
    <col min="10179" max="10180" width="10.5703125" style="125" customWidth="1"/>
    <col min="10181" max="10181" width="10.7109375" style="125" bestFit="1" customWidth="1"/>
    <col min="10182" max="10418" width="9.140625" style="125"/>
    <col min="10419" max="10419" width="47.85546875" style="125" bestFit="1" customWidth="1"/>
    <col min="10420" max="10420" width="10.7109375" style="125" bestFit="1" customWidth="1"/>
    <col min="10421" max="10421" width="9.85546875" style="125" bestFit="1" customWidth="1"/>
    <col min="10422" max="10423" width="10.7109375" style="125" bestFit="1" customWidth="1"/>
    <col min="10424" max="10425" width="9.85546875" style="125" bestFit="1" customWidth="1"/>
    <col min="10426" max="10426" width="8.7109375" style="125" bestFit="1" customWidth="1"/>
    <col min="10427" max="10428" width="9.85546875" style="125" bestFit="1" customWidth="1"/>
    <col min="10429" max="10429" width="6.85546875" style="125" bestFit="1" customWidth="1"/>
    <col min="10430" max="10430" width="11.5703125" style="125" customWidth="1"/>
    <col min="10431" max="10431" width="9.85546875" style="125" bestFit="1" customWidth="1"/>
    <col min="10432" max="10432" width="8.28515625" style="125" bestFit="1" customWidth="1"/>
    <col min="10433" max="10434" width="9.85546875" style="125" bestFit="1" customWidth="1"/>
    <col min="10435" max="10436" width="10.5703125" style="125" customWidth="1"/>
    <col min="10437" max="10437" width="10.7109375" style="125" bestFit="1" customWidth="1"/>
    <col min="10438" max="10674" width="9.140625" style="125"/>
    <col min="10675" max="10675" width="47.85546875" style="125" bestFit="1" customWidth="1"/>
    <col min="10676" max="10676" width="10.7109375" style="125" bestFit="1" customWidth="1"/>
    <col min="10677" max="10677" width="9.85546875" style="125" bestFit="1" customWidth="1"/>
    <col min="10678" max="10679" width="10.7109375" style="125" bestFit="1" customWidth="1"/>
    <col min="10680" max="10681" width="9.85546875" style="125" bestFit="1" customWidth="1"/>
    <col min="10682" max="10682" width="8.7109375" style="125" bestFit="1" customWidth="1"/>
    <col min="10683" max="10684" width="9.85546875" style="125" bestFit="1" customWidth="1"/>
    <col min="10685" max="10685" width="6.85546875" style="125" bestFit="1" customWidth="1"/>
    <col min="10686" max="10686" width="11.5703125" style="125" customWidth="1"/>
    <col min="10687" max="10687" width="9.85546875" style="125" bestFit="1" customWidth="1"/>
    <col min="10688" max="10688" width="8.28515625" style="125" bestFit="1" customWidth="1"/>
    <col min="10689" max="10690" width="9.85546875" style="125" bestFit="1" customWidth="1"/>
    <col min="10691" max="10692" width="10.5703125" style="125" customWidth="1"/>
    <col min="10693" max="10693" width="10.7109375" style="125" bestFit="1" customWidth="1"/>
    <col min="10694" max="10930" width="9.140625" style="125"/>
    <col min="10931" max="10931" width="47.85546875" style="125" bestFit="1" customWidth="1"/>
    <col min="10932" max="10932" width="10.7109375" style="125" bestFit="1" customWidth="1"/>
    <col min="10933" max="10933" width="9.85546875" style="125" bestFit="1" customWidth="1"/>
    <col min="10934" max="10935" width="10.7109375" style="125" bestFit="1" customWidth="1"/>
    <col min="10936" max="10937" width="9.85546875" style="125" bestFit="1" customWidth="1"/>
    <col min="10938" max="10938" width="8.7109375" style="125" bestFit="1" customWidth="1"/>
    <col min="10939" max="10940" width="9.85546875" style="125" bestFit="1" customWidth="1"/>
    <col min="10941" max="10941" width="6.85546875" style="125" bestFit="1" customWidth="1"/>
    <col min="10942" max="10942" width="11.5703125" style="125" customWidth="1"/>
    <col min="10943" max="10943" width="9.85546875" style="125" bestFit="1" customWidth="1"/>
    <col min="10944" max="10944" width="8.28515625" style="125" bestFit="1" customWidth="1"/>
    <col min="10945" max="10946" width="9.85546875" style="125" bestFit="1" customWidth="1"/>
    <col min="10947" max="10948" width="10.5703125" style="125" customWidth="1"/>
    <col min="10949" max="10949" width="10.7109375" style="125" bestFit="1" customWidth="1"/>
    <col min="10950" max="11186" width="9.140625" style="125"/>
    <col min="11187" max="11187" width="47.85546875" style="125" bestFit="1" customWidth="1"/>
    <col min="11188" max="11188" width="10.7109375" style="125" bestFit="1" customWidth="1"/>
    <col min="11189" max="11189" width="9.85546875" style="125" bestFit="1" customWidth="1"/>
    <col min="11190" max="11191" width="10.7109375" style="125" bestFit="1" customWidth="1"/>
    <col min="11192" max="11193" width="9.85546875" style="125" bestFit="1" customWidth="1"/>
    <col min="11194" max="11194" width="8.7109375" style="125" bestFit="1" customWidth="1"/>
    <col min="11195" max="11196" width="9.85546875" style="125" bestFit="1" customWidth="1"/>
    <col min="11197" max="11197" width="6.85546875" style="125" bestFit="1" customWidth="1"/>
    <col min="11198" max="11198" width="11.5703125" style="125" customWidth="1"/>
    <col min="11199" max="11199" width="9.85546875" style="125" bestFit="1" customWidth="1"/>
    <col min="11200" max="11200" width="8.28515625" style="125" bestFit="1" customWidth="1"/>
    <col min="11201" max="11202" width="9.85546875" style="125" bestFit="1" customWidth="1"/>
    <col min="11203" max="11204" width="10.5703125" style="125" customWidth="1"/>
    <col min="11205" max="11205" width="10.7109375" style="125" bestFit="1" customWidth="1"/>
    <col min="11206" max="11442" width="9.140625" style="125"/>
    <col min="11443" max="11443" width="47.85546875" style="125" bestFit="1" customWidth="1"/>
    <col min="11444" max="11444" width="10.7109375" style="125" bestFit="1" customWidth="1"/>
    <col min="11445" max="11445" width="9.85546875" style="125" bestFit="1" customWidth="1"/>
    <col min="11446" max="11447" width="10.7109375" style="125" bestFit="1" customWidth="1"/>
    <col min="11448" max="11449" width="9.85546875" style="125" bestFit="1" customWidth="1"/>
    <col min="11450" max="11450" width="8.7109375" style="125" bestFit="1" customWidth="1"/>
    <col min="11451" max="11452" width="9.85546875" style="125" bestFit="1" customWidth="1"/>
    <col min="11453" max="11453" width="6.85546875" style="125" bestFit="1" customWidth="1"/>
    <col min="11454" max="11454" width="11.5703125" style="125" customWidth="1"/>
    <col min="11455" max="11455" width="9.85546875" style="125" bestFit="1" customWidth="1"/>
    <col min="11456" max="11456" width="8.28515625" style="125" bestFit="1" customWidth="1"/>
    <col min="11457" max="11458" width="9.85546875" style="125" bestFit="1" customWidth="1"/>
    <col min="11459" max="11460" width="10.5703125" style="125" customWidth="1"/>
    <col min="11461" max="11461" width="10.7109375" style="125" bestFit="1" customWidth="1"/>
    <col min="11462" max="11698" width="9.140625" style="125"/>
    <col min="11699" max="11699" width="47.85546875" style="125" bestFit="1" customWidth="1"/>
    <col min="11700" max="11700" width="10.7109375" style="125" bestFit="1" customWidth="1"/>
    <col min="11701" max="11701" width="9.85546875" style="125" bestFit="1" customWidth="1"/>
    <col min="11702" max="11703" width="10.7109375" style="125" bestFit="1" customWidth="1"/>
    <col min="11704" max="11705" width="9.85546875" style="125" bestFit="1" customWidth="1"/>
    <col min="11706" max="11706" width="8.7109375" style="125" bestFit="1" customWidth="1"/>
    <col min="11707" max="11708" width="9.85546875" style="125" bestFit="1" customWidth="1"/>
    <col min="11709" max="11709" width="6.85546875" style="125" bestFit="1" customWidth="1"/>
    <col min="11710" max="11710" width="11.5703125" style="125" customWidth="1"/>
    <col min="11711" max="11711" width="9.85546875" style="125" bestFit="1" customWidth="1"/>
    <col min="11712" max="11712" width="8.28515625" style="125" bestFit="1" customWidth="1"/>
    <col min="11713" max="11714" width="9.85546875" style="125" bestFit="1" customWidth="1"/>
    <col min="11715" max="11716" width="10.5703125" style="125" customWidth="1"/>
    <col min="11717" max="11717" width="10.7109375" style="125" bestFit="1" customWidth="1"/>
    <col min="11718" max="11954" width="9.140625" style="125"/>
    <col min="11955" max="11955" width="47.85546875" style="125" bestFit="1" customWidth="1"/>
    <col min="11956" max="11956" width="10.7109375" style="125" bestFit="1" customWidth="1"/>
    <col min="11957" max="11957" width="9.85546875" style="125" bestFit="1" customWidth="1"/>
    <col min="11958" max="11959" width="10.7109375" style="125" bestFit="1" customWidth="1"/>
    <col min="11960" max="11961" width="9.85546875" style="125" bestFit="1" customWidth="1"/>
    <col min="11962" max="11962" width="8.7109375" style="125" bestFit="1" customWidth="1"/>
    <col min="11963" max="11964" width="9.85546875" style="125" bestFit="1" customWidth="1"/>
    <col min="11965" max="11965" width="6.85546875" style="125" bestFit="1" customWidth="1"/>
    <col min="11966" max="11966" width="11.5703125" style="125" customWidth="1"/>
    <col min="11967" max="11967" width="9.85546875" style="125" bestFit="1" customWidth="1"/>
    <col min="11968" max="11968" width="8.28515625" style="125" bestFit="1" customWidth="1"/>
    <col min="11969" max="11970" width="9.85546875" style="125" bestFit="1" customWidth="1"/>
    <col min="11971" max="11972" width="10.5703125" style="125" customWidth="1"/>
    <col min="11973" max="11973" width="10.7109375" style="125" bestFit="1" customWidth="1"/>
    <col min="11974" max="12210" width="9.140625" style="125"/>
    <col min="12211" max="12211" width="47.85546875" style="125" bestFit="1" customWidth="1"/>
    <col min="12212" max="12212" width="10.7109375" style="125" bestFit="1" customWidth="1"/>
    <col min="12213" max="12213" width="9.85546875" style="125" bestFit="1" customWidth="1"/>
    <col min="12214" max="12215" width="10.7109375" style="125" bestFit="1" customWidth="1"/>
    <col min="12216" max="12217" width="9.85546875" style="125" bestFit="1" customWidth="1"/>
    <col min="12218" max="12218" width="8.7109375" style="125" bestFit="1" customWidth="1"/>
    <col min="12219" max="12220" width="9.85546875" style="125" bestFit="1" customWidth="1"/>
    <col min="12221" max="12221" width="6.85546875" style="125" bestFit="1" customWidth="1"/>
    <col min="12222" max="12222" width="11.5703125" style="125" customWidth="1"/>
    <col min="12223" max="12223" width="9.85546875" style="125" bestFit="1" customWidth="1"/>
    <col min="12224" max="12224" width="8.28515625" style="125" bestFit="1" customWidth="1"/>
    <col min="12225" max="12226" width="9.85546875" style="125" bestFit="1" customWidth="1"/>
    <col min="12227" max="12228" width="10.5703125" style="125" customWidth="1"/>
    <col min="12229" max="12229" width="10.7109375" style="125" bestFit="1" customWidth="1"/>
    <col min="12230" max="12466" width="9.140625" style="125"/>
    <col min="12467" max="12467" width="47.85546875" style="125" bestFit="1" customWidth="1"/>
    <col min="12468" max="12468" width="10.7109375" style="125" bestFit="1" customWidth="1"/>
    <col min="12469" max="12469" width="9.85546875" style="125" bestFit="1" customWidth="1"/>
    <col min="12470" max="12471" width="10.7109375" style="125" bestFit="1" customWidth="1"/>
    <col min="12472" max="12473" width="9.85546875" style="125" bestFit="1" customWidth="1"/>
    <col min="12474" max="12474" width="8.7109375" style="125" bestFit="1" customWidth="1"/>
    <col min="12475" max="12476" width="9.85546875" style="125" bestFit="1" customWidth="1"/>
    <col min="12477" max="12477" width="6.85546875" style="125" bestFit="1" customWidth="1"/>
    <col min="12478" max="12478" width="11.5703125" style="125" customWidth="1"/>
    <col min="12479" max="12479" width="9.85546875" style="125" bestFit="1" customWidth="1"/>
    <col min="12480" max="12480" width="8.28515625" style="125" bestFit="1" customWidth="1"/>
    <col min="12481" max="12482" width="9.85546875" style="125" bestFit="1" customWidth="1"/>
    <col min="12483" max="12484" width="10.5703125" style="125" customWidth="1"/>
    <col min="12485" max="12485" width="10.7109375" style="125" bestFit="1" customWidth="1"/>
    <col min="12486" max="12722" width="9.140625" style="125"/>
    <col min="12723" max="12723" width="47.85546875" style="125" bestFit="1" customWidth="1"/>
    <col min="12724" max="12724" width="10.7109375" style="125" bestFit="1" customWidth="1"/>
    <col min="12725" max="12725" width="9.85546875" style="125" bestFit="1" customWidth="1"/>
    <col min="12726" max="12727" width="10.7109375" style="125" bestFit="1" customWidth="1"/>
    <col min="12728" max="12729" width="9.85546875" style="125" bestFit="1" customWidth="1"/>
    <col min="12730" max="12730" width="8.7109375" style="125" bestFit="1" customWidth="1"/>
    <col min="12731" max="12732" width="9.85546875" style="125" bestFit="1" customWidth="1"/>
    <col min="12733" max="12733" width="6.85546875" style="125" bestFit="1" customWidth="1"/>
    <col min="12734" max="12734" width="11.5703125" style="125" customWidth="1"/>
    <col min="12735" max="12735" width="9.85546875" style="125" bestFit="1" customWidth="1"/>
    <col min="12736" max="12736" width="8.28515625" style="125" bestFit="1" customWidth="1"/>
    <col min="12737" max="12738" width="9.85546875" style="125" bestFit="1" customWidth="1"/>
    <col min="12739" max="12740" width="10.5703125" style="125" customWidth="1"/>
    <col min="12741" max="12741" width="10.7109375" style="125" bestFit="1" customWidth="1"/>
    <col min="12742" max="12978" width="9.140625" style="125"/>
    <col min="12979" max="12979" width="47.85546875" style="125" bestFit="1" customWidth="1"/>
    <col min="12980" max="12980" width="10.7109375" style="125" bestFit="1" customWidth="1"/>
    <col min="12981" max="12981" width="9.85546875" style="125" bestFit="1" customWidth="1"/>
    <col min="12982" max="12983" width="10.7109375" style="125" bestFit="1" customWidth="1"/>
    <col min="12984" max="12985" width="9.85546875" style="125" bestFit="1" customWidth="1"/>
    <col min="12986" max="12986" width="8.7109375" style="125" bestFit="1" customWidth="1"/>
    <col min="12987" max="12988" width="9.85546875" style="125" bestFit="1" customWidth="1"/>
    <col min="12989" max="12989" width="6.85546875" style="125" bestFit="1" customWidth="1"/>
    <col min="12990" max="12990" width="11.5703125" style="125" customWidth="1"/>
    <col min="12991" max="12991" width="9.85546875" style="125" bestFit="1" customWidth="1"/>
    <col min="12992" max="12992" width="8.28515625" style="125" bestFit="1" customWidth="1"/>
    <col min="12993" max="12994" width="9.85546875" style="125" bestFit="1" customWidth="1"/>
    <col min="12995" max="12996" width="10.5703125" style="125" customWidth="1"/>
    <col min="12997" max="12997" width="10.7109375" style="125" bestFit="1" customWidth="1"/>
    <col min="12998" max="13234" width="9.140625" style="125"/>
    <col min="13235" max="13235" width="47.85546875" style="125" bestFit="1" customWidth="1"/>
    <col min="13236" max="13236" width="10.7109375" style="125" bestFit="1" customWidth="1"/>
    <col min="13237" max="13237" width="9.85546875" style="125" bestFit="1" customWidth="1"/>
    <col min="13238" max="13239" width="10.7109375" style="125" bestFit="1" customWidth="1"/>
    <col min="13240" max="13241" width="9.85546875" style="125" bestFit="1" customWidth="1"/>
    <col min="13242" max="13242" width="8.7109375" style="125" bestFit="1" customWidth="1"/>
    <col min="13243" max="13244" width="9.85546875" style="125" bestFit="1" customWidth="1"/>
    <col min="13245" max="13245" width="6.85546875" style="125" bestFit="1" customWidth="1"/>
    <col min="13246" max="13246" width="11.5703125" style="125" customWidth="1"/>
    <col min="13247" max="13247" width="9.85546875" style="125" bestFit="1" customWidth="1"/>
    <col min="13248" max="13248" width="8.28515625" style="125" bestFit="1" customWidth="1"/>
    <col min="13249" max="13250" width="9.85546875" style="125" bestFit="1" customWidth="1"/>
    <col min="13251" max="13252" width="10.5703125" style="125" customWidth="1"/>
    <col min="13253" max="13253" width="10.7109375" style="125" bestFit="1" customWidth="1"/>
    <col min="13254" max="13490" width="9.140625" style="125"/>
    <col min="13491" max="13491" width="47.85546875" style="125" bestFit="1" customWidth="1"/>
    <col min="13492" max="13492" width="10.7109375" style="125" bestFit="1" customWidth="1"/>
    <col min="13493" max="13493" width="9.85546875" style="125" bestFit="1" customWidth="1"/>
    <col min="13494" max="13495" width="10.7109375" style="125" bestFit="1" customWidth="1"/>
    <col min="13496" max="13497" width="9.85546875" style="125" bestFit="1" customWidth="1"/>
    <col min="13498" max="13498" width="8.7109375" style="125" bestFit="1" customWidth="1"/>
    <col min="13499" max="13500" width="9.85546875" style="125" bestFit="1" customWidth="1"/>
    <col min="13501" max="13501" width="6.85546875" style="125" bestFit="1" customWidth="1"/>
    <col min="13502" max="13502" width="11.5703125" style="125" customWidth="1"/>
    <col min="13503" max="13503" width="9.85546875" style="125" bestFit="1" customWidth="1"/>
    <col min="13504" max="13504" width="8.28515625" style="125" bestFit="1" customWidth="1"/>
    <col min="13505" max="13506" width="9.85546875" style="125" bestFit="1" customWidth="1"/>
    <col min="13507" max="13508" width="10.5703125" style="125" customWidth="1"/>
    <col min="13509" max="13509" width="10.7109375" style="125" bestFit="1" customWidth="1"/>
    <col min="13510" max="13746" width="9.140625" style="125"/>
    <col min="13747" max="13747" width="47.85546875" style="125" bestFit="1" customWidth="1"/>
    <col min="13748" max="13748" width="10.7109375" style="125" bestFit="1" customWidth="1"/>
    <col min="13749" max="13749" width="9.85546875" style="125" bestFit="1" customWidth="1"/>
    <col min="13750" max="13751" width="10.7109375" style="125" bestFit="1" customWidth="1"/>
    <col min="13752" max="13753" width="9.85546875" style="125" bestFit="1" customWidth="1"/>
    <col min="13754" max="13754" width="8.7109375" style="125" bestFit="1" customWidth="1"/>
    <col min="13755" max="13756" width="9.85546875" style="125" bestFit="1" customWidth="1"/>
    <col min="13757" max="13757" width="6.85546875" style="125" bestFit="1" customWidth="1"/>
    <col min="13758" max="13758" width="11.5703125" style="125" customWidth="1"/>
    <col min="13759" max="13759" width="9.85546875" style="125" bestFit="1" customWidth="1"/>
    <col min="13760" max="13760" width="8.28515625" style="125" bestFit="1" customWidth="1"/>
    <col min="13761" max="13762" width="9.85546875" style="125" bestFit="1" customWidth="1"/>
    <col min="13763" max="13764" width="10.5703125" style="125" customWidth="1"/>
    <col min="13765" max="13765" width="10.7109375" style="125" bestFit="1" customWidth="1"/>
    <col min="13766" max="14002" width="9.140625" style="125"/>
    <col min="14003" max="14003" width="47.85546875" style="125" bestFit="1" customWidth="1"/>
    <col min="14004" max="14004" width="10.7109375" style="125" bestFit="1" customWidth="1"/>
    <col min="14005" max="14005" width="9.85546875" style="125" bestFit="1" customWidth="1"/>
    <col min="14006" max="14007" width="10.7109375" style="125" bestFit="1" customWidth="1"/>
    <col min="14008" max="14009" width="9.85546875" style="125" bestFit="1" customWidth="1"/>
    <col min="14010" max="14010" width="8.7109375" style="125" bestFit="1" customWidth="1"/>
    <col min="14011" max="14012" width="9.85546875" style="125" bestFit="1" customWidth="1"/>
    <col min="14013" max="14013" width="6.85546875" style="125" bestFit="1" customWidth="1"/>
    <col min="14014" max="14014" width="11.5703125" style="125" customWidth="1"/>
    <col min="14015" max="14015" width="9.85546875" style="125" bestFit="1" customWidth="1"/>
    <col min="14016" max="14016" width="8.28515625" style="125" bestFit="1" customWidth="1"/>
    <col min="14017" max="14018" width="9.85546875" style="125" bestFit="1" customWidth="1"/>
    <col min="14019" max="14020" width="10.5703125" style="125" customWidth="1"/>
    <col min="14021" max="14021" width="10.7109375" style="125" bestFit="1" customWidth="1"/>
    <col min="14022" max="14258" width="9.140625" style="125"/>
    <col min="14259" max="14259" width="47.85546875" style="125" bestFit="1" customWidth="1"/>
    <col min="14260" max="14260" width="10.7109375" style="125" bestFit="1" customWidth="1"/>
    <col min="14261" max="14261" width="9.85546875" style="125" bestFit="1" customWidth="1"/>
    <col min="14262" max="14263" width="10.7109375" style="125" bestFit="1" customWidth="1"/>
    <col min="14264" max="14265" width="9.85546875" style="125" bestFit="1" customWidth="1"/>
    <col min="14266" max="14266" width="8.7109375" style="125" bestFit="1" customWidth="1"/>
    <col min="14267" max="14268" width="9.85546875" style="125" bestFit="1" customWidth="1"/>
    <col min="14269" max="14269" width="6.85546875" style="125" bestFit="1" customWidth="1"/>
    <col min="14270" max="14270" width="11.5703125" style="125" customWidth="1"/>
    <col min="14271" max="14271" width="9.85546875" style="125" bestFit="1" customWidth="1"/>
    <col min="14272" max="14272" width="8.28515625" style="125" bestFit="1" customWidth="1"/>
    <col min="14273" max="14274" width="9.85546875" style="125" bestFit="1" customWidth="1"/>
    <col min="14275" max="14276" width="10.5703125" style="125" customWidth="1"/>
    <col min="14277" max="14277" width="10.7109375" style="125" bestFit="1" customWidth="1"/>
    <col min="14278" max="14514" width="9.140625" style="125"/>
    <col min="14515" max="14515" width="47.85546875" style="125" bestFit="1" customWidth="1"/>
    <col min="14516" max="14516" width="10.7109375" style="125" bestFit="1" customWidth="1"/>
    <col min="14517" max="14517" width="9.85546875" style="125" bestFit="1" customWidth="1"/>
    <col min="14518" max="14519" width="10.7109375" style="125" bestFit="1" customWidth="1"/>
    <col min="14520" max="14521" width="9.85546875" style="125" bestFit="1" customWidth="1"/>
    <col min="14522" max="14522" width="8.7109375" style="125" bestFit="1" customWidth="1"/>
    <col min="14523" max="14524" width="9.85546875" style="125" bestFit="1" customWidth="1"/>
    <col min="14525" max="14525" width="6.85546875" style="125" bestFit="1" customWidth="1"/>
    <col min="14526" max="14526" width="11.5703125" style="125" customWidth="1"/>
    <col min="14527" max="14527" width="9.85546875" style="125" bestFit="1" customWidth="1"/>
    <col min="14528" max="14528" width="8.28515625" style="125" bestFit="1" customWidth="1"/>
    <col min="14529" max="14530" width="9.85546875" style="125" bestFit="1" customWidth="1"/>
    <col min="14531" max="14532" width="10.5703125" style="125" customWidth="1"/>
    <col min="14533" max="14533" width="10.7109375" style="125" bestFit="1" customWidth="1"/>
    <col min="14534" max="14770" width="9.140625" style="125"/>
    <col min="14771" max="14771" width="47.85546875" style="125" bestFit="1" customWidth="1"/>
    <col min="14772" max="14772" width="10.7109375" style="125" bestFit="1" customWidth="1"/>
    <col min="14773" max="14773" width="9.85546875" style="125" bestFit="1" customWidth="1"/>
    <col min="14774" max="14775" width="10.7109375" style="125" bestFit="1" customWidth="1"/>
    <col min="14776" max="14777" width="9.85546875" style="125" bestFit="1" customWidth="1"/>
    <col min="14778" max="14778" width="8.7109375" style="125" bestFit="1" customWidth="1"/>
    <col min="14779" max="14780" width="9.85546875" style="125" bestFit="1" customWidth="1"/>
    <col min="14781" max="14781" width="6.85546875" style="125" bestFit="1" customWidth="1"/>
    <col min="14782" max="14782" width="11.5703125" style="125" customWidth="1"/>
    <col min="14783" max="14783" width="9.85546875" style="125" bestFit="1" customWidth="1"/>
    <col min="14784" max="14784" width="8.28515625" style="125" bestFit="1" customWidth="1"/>
    <col min="14785" max="14786" width="9.85546875" style="125" bestFit="1" customWidth="1"/>
    <col min="14787" max="14788" width="10.5703125" style="125" customWidth="1"/>
    <col min="14789" max="14789" width="10.7109375" style="125" bestFit="1" customWidth="1"/>
    <col min="14790" max="15026" width="9.140625" style="125"/>
    <col min="15027" max="15027" width="47.85546875" style="125" bestFit="1" customWidth="1"/>
    <col min="15028" max="15028" width="10.7109375" style="125" bestFit="1" customWidth="1"/>
    <col min="15029" max="15029" width="9.85546875" style="125" bestFit="1" customWidth="1"/>
    <col min="15030" max="15031" width="10.7109375" style="125" bestFit="1" customWidth="1"/>
    <col min="15032" max="15033" width="9.85546875" style="125" bestFit="1" customWidth="1"/>
    <col min="15034" max="15034" width="8.7109375" style="125" bestFit="1" customWidth="1"/>
    <col min="15035" max="15036" width="9.85546875" style="125" bestFit="1" customWidth="1"/>
    <col min="15037" max="15037" width="6.85546875" style="125" bestFit="1" customWidth="1"/>
    <col min="15038" max="15038" width="11.5703125" style="125" customWidth="1"/>
    <col min="15039" max="15039" width="9.85546875" style="125" bestFit="1" customWidth="1"/>
    <col min="15040" max="15040" width="8.28515625" style="125" bestFit="1" customWidth="1"/>
    <col min="15041" max="15042" width="9.85546875" style="125" bestFit="1" customWidth="1"/>
    <col min="15043" max="15044" width="10.5703125" style="125" customWidth="1"/>
    <col min="15045" max="15045" width="10.7109375" style="125" bestFit="1" customWidth="1"/>
    <col min="15046" max="15282" width="9.140625" style="125"/>
    <col min="15283" max="15283" width="47.85546875" style="125" bestFit="1" customWidth="1"/>
    <col min="15284" max="15284" width="10.7109375" style="125" bestFit="1" customWidth="1"/>
    <col min="15285" max="15285" width="9.85546875" style="125" bestFit="1" customWidth="1"/>
    <col min="15286" max="15287" width="10.7109375" style="125" bestFit="1" customWidth="1"/>
    <col min="15288" max="15289" width="9.85546875" style="125" bestFit="1" customWidth="1"/>
    <col min="15290" max="15290" width="8.7109375" style="125" bestFit="1" customWidth="1"/>
    <col min="15291" max="15292" width="9.85546875" style="125" bestFit="1" customWidth="1"/>
    <col min="15293" max="15293" width="6.85546875" style="125" bestFit="1" customWidth="1"/>
    <col min="15294" max="15294" width="11.5703125" style="125" customWidth="1"/>
    <col min="15295" max="15295" width="9.85546875" style="125" bestFit="1" customWidth="1"/>
    <col min="15296" max="15296" width="8.28515625" style="125" bestFit="1" customWidth="1"/>
    <col min="15297" max="15298" width="9.85546875" style="125" bestFit="1" customWidth="1"/>
    <col min="15299" max="15300" width="10.5703125" style="125" customWidth="1"/>
    <col min="15301" max="15301" width="10.7109375" style="125" bestFit="1" customWidth="1"/>
    <col min="15302" max="15538" width="9.140625" style="125"/>
    <col min="15539" max="15539" width="47.85546875" style="125" bestFit="1" customWidth="1"/>
    <col min="15540" max="15540" width="10.7109375" style="125" bestFit="1" customWidth="1"/>
    <col min="15541" max="15541" width="9.85546875" style="125" bestFit="1" customWidth="1"/>
    <col min="15542" max="15543" width="10.7109375" style="125" bestFit="1" customWidth="1"/>
    <col min="15544" max="15545" width="9.85546875" style="125" bestFit="1" customWidth="1"/>
    <col min="15546" max="15546" width="8.7109375" style="125" bestFit="1" customWidth="1"/>
    <col min="15547" max="15548" width="9.85546875" style="125" bestFit="1" customWidth="1"/>
    <col min="15549" max="15549" width="6.85546875" style="125" bestFit="1" customWidth="1"/>
    <col min="15550" max="15550" width="11.5703125" style="125" customWidth="1"/>
    <col min="15551" max="15551" width="9.85546875" style="125" bestFit="1" customWidth="1"/>
    <col min="15552" max="15552" width="8.28515625" style="125" bestFit="1" customWidth="1"/>
    <col min="15553" max="15554" width="9.85546875" style="125" bestFit="1" customWidth="1"/>
    <col min="15555" max="15556" width="10.5703125" style="125" customWidth="1"/>
    <col min="15557" max="15557" width="10.7109375" style="125" bestFit="1" customWidth="1"/>
    <col min="15558" max="15794" width="9.140625" style="125"/>
    <col min="15795" max="15795" width="47.85546875" style="125" bestFit="1" customWidth="1"/>
    <col min="15796" max="15796" width="10.7109375" style="125" bestFit="1" customWidth="1"/>
    <col min="15797" max="15797" width="9.85546875" style="125" bestFit="1" customWidth="1"/>
    <col min="15798" max="15799" width="10.7109375" style="125" bestFit="1" customWidth="1"/>
    <col min="15800" max="15801" width="9.85546875" style="125" bestFit="1" customWidth="1"/>
    <col min="15802" max="15802" width="8.7109375" style="125" bestFit="1" customWidth="1"/>
    <col min="15803" max="15804" width="9.85546875" style="125" bestFit="1" customWidth="1"/>
    <col min="15805" max="15805" width="6.85546875" style="125" bestFit="1" customWidth="1"/>
    <col min="15806" max="15806" width="11.5703125" style="125" customWidth="1"/>
    <col min="15807" max="15807" width="9.85546875" style="125" bestFit="1" customWidth="1"/>
    <col min="15808" max="15808" width="8.28515625" style="125" bestFit="1" customWidth="1"/>
    <col min="15809" max="15810" width="9.85546875" style="125" bestFit="1" customWidth="1"/>
    <col min="15811" max="15812" width="10.5703125" style="125" customWidth="1"/>
    <col min="15813" max="15813" width="10.7109375" style="125" bestFit="1" customWidth="1"/>
    <col min="15814" max="16050" width="9.140625" style="125"/>
    <col min="16051" max="16051" width="47.85546875" style="125" bestFit="1" customWidth="1"/>
    <col min="16052" max="16052" width="10.7109375" style="125" bestFit="1" customWidth="1"/>
    <col min="16053" max="16053" width="9.85546875" style="125" bestFit="1" customWidth="1"/>
    <col min="16054" max="16055" width="10.7109375" style="125" bestFit="1" customWidth="1"/>
    <col min="16056" max="16057" width="9.85546875" style="125" bestFit="1" customWidth="1"/>
    <col min="16058" max="16058" width="8.7109375" style="125" bestFit="1" customWidth="1"/>
    <col min="16059" max="16060" width="9.85546875" style="125" bestFit="1" customWidth="1"/>
    <col min="16061" max="16061" width="6.85546875" style="125" bestFit="1" customWidth="1"/>
    <col min="16062" max="16062" width="11.5703125" style="125" customWidth="1"/>
    <col min="16063" max="16063" width="9.85546875" style="125" bestFit="1" customWidth="1"/>
    <col min="16064" max="16064" width="8.28515625" style="125" bestFit="1" customWidth="1"/>
    <col min="16065" max="16066" width="9.85546875" style="125" bestFit="1" customWidth="1"/>
    <col min="16067" max="16068" width="10.5703125" style="125" customWidth="1"/>
    <col min="16069" max="16069" width="10.7109375" style="125" bestFit="1" customWidth="1"/>
    <col min="16070" max="16384" width="9.140625" style="125"/>
  </cols>
  <sheetData>
    <row r="1" spans="1:19" ht="24.6" customHeight="1" x14ac:dyDescent="0.2">
      <c r="A1" s="615" t="s">
        <v>224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</row>
    <row r="2" spans="1:19" ht="12" x14ac:dyDescent="0.2">
      <c r="A2" s="126" t="s">
        <v>336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7"/>
      <c r="N2" s="127"/>
      <c r="O2" s="127"/>
      <c r="P2" s="127"/>
      <c r="Q2" s="127"/>
      <c r="R2" s="127"/>
      <c r="S2" s="129"/>
    </row>
    <row r="3" spans="1:19" s="135" customFormat="1" ht="12.75" thickBot="1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  <c r="M3" s="131"/>
      <c r="N3" s="131"/>
      <c r="O3" s="131"/>
      <c r="P3" s="131"/>
      <c r="Q3" s="133"/>
      <c r="R3" s="133"/>
      <c r="S3" s="134" t="s">
        <v>78</v>
      </c>
    </row>
    <row r="4" spans="1:19" ht="66" customHeight="1" thickBot="1" x14ac:dyDescent="0.25">
      <c r="A4" s="136" t="s">
        <v>79</v>
      </c>
      <c r="B4" s="137" t="s">
        <v>0</v>
      </c>
      <c r="C4" s="137" t="s">
        <v>1</v>
      </c>
      <c r="D4" s="137" t="s">
        <v>2</v>
      </c>
      <c r="E4" s="138" t="s">
        <v>3</v>
      </c>
      <c r="F4" s="137" t="s">
        <v>4</v>
      </c>
      <c r="G4" s="138" t="s">
        <v>5</v>
      </c>
      <c r="H4" s="139" t="s">
        <v>80</v>
      </c>
      <c r="I4" s="138" t="s">
        <v>7</v>
      </c>
      <c r="J4" s="137" t="s">
        <v>10</v>
      </c>
      <c r="K4" s="472"/>
      <c r="L4" s="140" t="s">
        <v>81</v>
      </c>
      <c r="M4" s="138" t="s">
        <v>82</v>
      </c>
      <c r="N4" s="137" t="s">
        <v>9</v>
      </c>
      <c r="O4" s="141" t="s">
        <v>83</v>
      </c>
      <c r="P4" s="142" t="s">
        <v>13</v>
      </c>
      <c r="Q4" s="487" t="s">
        <v>14</v>
      </c>
      <c r="R4" s="494" t="s">
        <v>320</v>
      </c>
      <c r="S4" s="409" t="s">
        <v>339</v>
      </c>
    </row>
    <row r="5" spans="1:19" ht="23.25" customHeight="1" thickBot="1" x14ac:dyDescent="0.25">
      <c r="A5" s="143" t="s">
        <v>84</v>
      </c>
      <c r="B5" s="144">
        <f t="shared" ref="B5:S5" si="0">B7+B157</f>
        <v>14428103.890000001</v>
      </c>
      <c r="C5" s="144">
        <f t="shared" si="0"/>
        <v>7055619.7799999993</v>
      </c>
      <c r="D5" s="144">
        <f t="shared" si="0"/>
        <v>17041083.049999997</v>
      </c>
      <c r="E5" s="149">
        <f t="shared" si="0"/>
        <v>16472134.959999999</v>
      </c>
      <c r="F5" s="144">
        <f t="shared" si="0"/>
        <v>5025068.53</v>
      </c>
      <c r="G5" s="145">
        <f t="shared" si="0"/>
        <v>11013310.609999999</v>
      </c>
      <c r="H5" s="144">
        <f t="shared" si="0"/>
        <v>200435</v>
      </c>
      <c r="I5" s="145">
        <f t="shared" si="0"/>
        <v>4529169.9800000004</v>
      </c>
      <c r="J5" s="144">
        <f t="shared" si="0"/>
        <v>1376520.54</v>
      </c>
      <c r="K5" s="145">
        <f t="shared" si="0"/>
        <v>0</v>
      </c>
      <c r="L5" s="147">
        <f t="shared" si="0"/>
        <v>77141446.340000004</v>
      </c>
      <c r="M5" s="477">
        <f t="shared" si="0"/>
        <v>4709189.13</v>
      </c>
      <c r="N5" s="144">
        <f t="shared" si="0"/>
        <v>63137</v>
      </c>
      <c r="O5" s="145">
        <f t="shared" si="0"/>
        <v>4985062.92</v>
      </c>
      <c r="P5" s="144">
        <f t="shared" si="0"/>
        <v>1747259.33</v>
      </c>
      <c r="Q5" s="145">
        <f t="shared" si="0"/>
        <v>973947.19000000006</v>
      </c>
      <c r="R5" s="144">
        <f t="shared" si="0"/>
        <v>614520.98</v>
      </c>
      <c r="S5" s="144">
        <f t="shared" si="0"/>
        <v>90234562.890000001</v>
      </c>
    </row>
    <row r="6" spans="1:19" ht="23.25" customHeight="1" thickBot="1" x14ac:dyDescent="0.25">
      <c r="A6" s="148"/>
      <c r="B6" s="146"/>
      <c r="C6" s="146"/>
      <c r="D6" s="146"/>
      <c r="E6" s="149"/>
      <c r="F6" s="146"/>
      <c r="G6" s="149"/>
      <c r="H6" s="146"/>
      <c r="I6" s="149"/>
      <c r="J6" s="146"/>
      <c r="K6" s="149"/>
      <c r="L6" s="150"/>
      <c r="M6" s="145"/>
      <c r="N6" s="146"/>
      <c r="O6" s="149"/>
      <c r="P6" s="146"/>
      <c r="Q6" s="149"/>
      <c r="R6" s="146"/>
      <c r="S6" s="146"/>
    </row>
    <row r="7" spans="1:19" ht="26.25" customHeight="1" thickBot="1" x14ac:dyDescent="0.25">
      <c r="A7" s="151" t="s">
        <v>85</v>
      </c>
      <c r="B7" s="146">
        <f>B10+B88+B124+B126+B149+B150+B153+B154+B155</f>
        <v>14428103.890000001</v>
      </c>
      <c r="C7" s="146">
        <f>C10+C88+C124+C126+C149+C150+C153+C154+C155</f>
        <v>6724619.7799999993</v>
      </c>
      <c r="D7" s="146">
        <f>D10+D88+D124+D126+D149+D150+D153+D154+D155+D151</f>
        <v>17041083.049999997</v>
      </c>
      <c r="E7" s="149">
        <f t="shared" ref="E7:K7" si="1">E10+E88+E124+E126+E149+E150+E153+E154+E155</f>
        <v>16392134.959999999</v>
      </c>
      <c r="F7" s="146">
        <f t="shared" si="1"/>
        <v>5025068.53</v>
      </c>
      <c r="G7" s="149">
        <f t="shared" si="1"/>
        <v>10659310.609999999</v>
      </c>
      <c r="H7" s="146">
        <f t="shared" si="1"/>
        <v>200435</v>
      </c>
      <c r="I7" s="149">
        <f t="shared" si="1"/>
        <v>4479169.9800000004</v>
      </c>
      <c r="J7" s="146">
        <f t="shared" si="1"/>
        <v>1376520.54</v>
      </c>
      <c r="K7" s="149">
        <f t="shared" si="1"/>
        <v>0</v>
      </c>
      <c r="L7" s="150">
        <f>SUM(B7:K7)</f>
        <v>76326446.340000004</v>
      </c>
      <c r="M7" s="149">
        <f>M9+M149+M151+M153+M154+M155</f>
        <v>4709189.13</v>
      </c>
      <c r="N7" s="146">
        <f>N9+N149+N151+N153+N154</f>
        <v>63137</v>
      </c>
      <c r="O7" s="149">
        <f>O9+O149+O151+O153+O154</f>
        <v>4915062.92</v>
      </c>
      <c r="P7" s="146">
        <f>P9+P149+P151+P153+P154</f>
        <v>1747259.33</v>
      </c>
      <c r="Q7" s="149">
        <f>Q9+Q149+Q151+Q153+Q154</f>
        <v>973947.19000000006</v>
      </c>
      <c r="R7" s="146">
        <f>R9+R149+R151+R153+R154+R155</f>
        <v>614520.98</v>
      </c>
      <c r="S7" s="146">
        <f>SUM(L7:R7)</f>
        <v>89349562.890000001</v>
      </c>
    </row>
    <row r="8" spans="1:19" ht="25.5" customHeight="1" thickBot="1" x14ac:dyDescent="0.25">
      <c r="A8" s="152" t="s">
        <v>126</v>
      </c>
      <c r="B8" s="153">
        <f>B88</f>
        <v>3341534.7</v>
      </c>
      <c r="C8" s="153">
        <f t="shared" ref="C8:R8" si="2">C88</f>
        <v>980953.64999999991</v>
      </c>
      <c r="D8" s="153">
        <f t="shared" si="2"/>
        <v>5783702.5799999991</v>
      </c>
      <c r="E8" s="154">
        <f t="shared" si="2"/>
        <v>4665044.25</v>
      </c>
      <c r="F8" s="153">
        <f t="shared" si="2"/>
        <v>1369566</v>
      </c>
      <c r="G8" s="154">
        <f t="shared" si="2"/>
        <v>2722787.9</v>
      </c>
      <c r="H8" s="153">
        <f>H88</f>
        <v>199395</v>
      </c>
      <c r="I8" s="154">
        <f t="shared" si="2"/>
        <v>844101.44</v>
      </c>
      <c r="J8" s="153">
        <f t="shared" si="2"/>
        <v>264609</v>
      </c>
      <c r="K8" s="154">
        <f t="shared" si="2"/>
        <v>0</v>
      </c>
      <c r="L8" s="155">
        <f t="shared" ref="L8:L71" si="3">SUM(B8:K8)</f>
        <v>20171694.52</v>
      </c>
      <c r="M8" s="154">
        <f t="shared" si="2"/>
        <v>0</v>
      </c>
      <c r="N8" s="153">
        <f t="shared" si="2"/>
        <v>0</v>
      </c>
      <c r="O8" s="154">
        <f t="shared" si="2"/>
        <v>678642.73</v>
      </c>
      <c r="P8" s="153">
        <f t="shared" si="2"/>
        <v>875197</v>
      </c>
      <c r="Q8" s="154">
        <f t="shared" si="2"/>
        <v>973947.19000000006</v>
      </c>
      <c r="R8" s="153">
        <f t="shared" si="2"/>
        <v>0</v>
      </c>
      <c r="S8" s="410">
        <f>SUM(L8:R8)</f>
        <v>22699481.440000001</v>
      </c>
    </row>
    <row r="9" spans="1:19" ht="38.25" customHeight="1" thickBot="1" x14ac:dyDescent="0.25">
      <c r="A9" s="156" t="s">
        <v>86</v>
      </c>
      <c r="B9" s="157">
        <f t="shared" ref="B9:K9" si="4">B10+B88+B124+B126</f>
        <v>13783684.600000001</v>
      </c>
      <c r="C9" s="157">
        <f t="shared" si="4"/>
        <v>5730308.7799999993</v>
      </c>
      <c r="D9" s="157">
        <f t="shared" si="4"/>
        <v>15450424.879999999</v>
      </c>
      <c r="E9" s="158">
        <f t="shared" si="4"/>
        <v>14606468.6</v>
      </c>
      <c r="F9" s="157">
        <f t="shared" si="4"/>
        <v>4990758.53</v>
      </c>
      <c r="G9" s="158">
        <f t="shared" si="4"/>
        <v>10047000.539999999</v>
      </c>
      <c r="H9" s="157">
        <f t="shared" si="4"/>
        <v>200435</v>
      </c>
      <c r="I9" s="158">
        <f t="shared" si="4"/>
        <v>4329207.9800000004</v>
      </c>
      <c r="J9" s="157">
        <f t="shared" si="4"/>
        <v>1295165.54</v>
      </c>
      <c r="K9" s="158">
        <f t="shared" si="4"/>
        <v>0</v>
      </c>
      <c r="L9" s="159">
        <f t="shared" si="3"/>
        <v>70433454.450000018</v>
      </c>
      <c r="M9" s="158">
        <f>M10+M88+M124+M126</f>
        <v>4709189.13</v>
      </c>
      <c r="N9" s="157">
        <f>N10+N88+N124+N126</f>
        <v>63137</v>
      </c>
      <c r="O9" s="158">
        <f>O10+O88+O124+O126</f>
        <v>4915062.92</v>
      </c>
      <c r="P9" s="157">
        <f>P10+P88+P124+P126</f>
        <v>1747259.33</v>
      </c>
      <c r="Q9" s="158">
        <f>Q10+Q89+Q122+Q123+Q124+Q126</f>
        <v>973947.19000000006</v>
      </c>
      <c r="R9" s="157">
        <f>R10+R89+R122+R123+R124+R126</f>
        <v>614520.98</v>
      </c>
      <c r="S9" s="157">
        <f>L9+M9+N9+O9+P9+Q9+R9</f>
        <v>83456571.000000015</v>
      </c>
    </row>
    <row r="10" spans="1:19" ht="25.35" customHeight="1" thickBot="1" x14ac:dyDescent="0.25">
      <c r="A10" s="160" t="s">
        <v>87</v>
      </c>
      <c r="B10" s="161">
        <f>B11+B25+B34</f>
        <v>9905203.9000000004</v>
      </c>
      <c r="C10" s="161">
        <f>C11+C25+C34</f>
        <v>4463246.13</v>
      </c>
      <c r="D10" s="161">
        <f t="shared" ref="D10:R10" si="5">D11+D25+D34</f>
        <v>8992371.3000000007</v>
      </c>
      <c r="E10" s="162">
        <f t="shared" si="5"/>
        <v>9670611.3499999996</v>
      </c>
      <c r="F10" s="161">
        <f t="shared" si="5"/>
        <v>3537351.5300000003</v>
      </c>
      <c r="G10" s="162">
        <f>G11+G25+G34</f>
        <v>6214934.96</v>
      </c>
      <c r="H10" s="161">
        <f t="shared" si="5"/>
        <v>1040</v>
      </c>
      <c r="I10" s="162">
        <f t="shared" si="5"/>
        <v>3228701.54</v>
      </c>
      <c r="J10" s="161">
        <f>J11+J25+J34</f>
        <v>1007596.5399999999</v>
      </c>
      <c r="K10" s="162">
        <f t="shared" si="5"/>
        <v>0</v>
      </c>
      <c r="L10" s="163">
        <f t="shared" si="3"/>
        <v>47021057.25</v>
      </c>
      <c r="M10" s="162">
        <f t="shared" si="5"/>
        <v>0</v>
      </c>
      <c r="N10" s="161">
        <f t="shared" si="5"/>
        <v>0</v>
      </c>
      <c r="O10" s="162">
        <f t="shared" si="5"/>
        <v>4002857.19</v>
      </c>
      <c r="P10" s="161">
        <f>P11+P25+P34</f>
        <v>872062.33</v>
      </c>
      <c r="Q10" s="162">
        <f t="shared" si="5"/>
        <v>0</v>
      </c>
      <c r="R10" s="161">
        <f t="shared" si="5"/>
        <v>514520.98000000004</v>
      </c>
      <c r="S10" s="161">
        <f>SUM(L10:R10)</f>
        <v>52410497.749999993</v>
      </c>
    </row>
    <row r="11" spans="1:19" s="168" customFormat="1" ht="19.350000000000001" customHeight="1" thickBot="1" x14ac:dyDescent="0.25">
      <c r="A11" s="164" t="s">
        <v>88</v>
      </c>
      <c r="B11" s="165">
        <f>B12+B13+B14+B15+B16+B18+B19</f>
        <v>6370532.5099999998</v>
      </c>
      <c r="C11" s="165">
        <f>C12+C13+C14+C15+C16+C18+C19</f>
        <v>2672029</v>
      </c>
      <c r="D11" s="165">
        <f>D12+D13+D14+D15+D16+D18+D19</f>
        <v>5318502.7699999996</v>
      </c>
      <c r="E11" s="167">
        <f>E12+E13+E14+E15+E16+E18+E19</f>
        <v>5704240</v>
      </c>
      <c r="F11" s="165">
        <f>F12+F13+F14+F15+F16+F18+F19</f>
        <v>2166183</v>
      </c>
      <c r="G11" s="167">
        <f>G12+G13+G14+G15+G16+G18+G17+G19</f>
        <v>3864661</v>
      </c>
      <c r="H11" s="165">
        <f>H12+H13+H14+H15+H16</f>
        <v>0</v>
      </c>
      <c r="I11" s="167">
        <f>I12+I13+I14+I15+I16+I18+I19</f>
        <v>1861878</v>
      </c>
      <c r="J11" s="165">
        <f>J12+J13+J14+J15+J16+J19</f>
        <v>661234.72</v>
      </c>
      <c r="K11" s="167">
        <f>K12+K13+K14+K15+K16</f>
        <v>0</v>
      </c>
      <c r="L11" s="166">
        <f t="shared" si="3"/>
        <v>28619261</v>
      </c>
      <c r="M11" s="167">
        <f t="shared" ref="M11:Q11" si="6">M12+M13+M14+M15+M16</f>
        <v>0</v>
      </c>
      <c r="N11" s="165">
        <f t="shared" si="6"/>
        <v>0</v>
      </c>
      <c r="O11" s="167">
        <f>O12+O13+O14+O15+O16+O18+O19+O17</f>
        <v>2186602</v>
      </c>
      <c r="P11" s="165">
        <f>P12+P13+P14+P15+P16</f>
        <v>46620</v>
      </c>
      <c r="Q11" s="167">
        <f t="shared" si="6"/>
        <v>0</v>
      </c>
      <c r="R11" s="165">
        <f>R12+R13+R14+R15+R16</f>
        <v>0</v>
      </c>
      <c r="S11" s="165">
        <f>L11+M11+N11+O11+P11+Q11</f>
        <v>30852483</v>
      </c>
    </row>
    <row r="12" spans="1:19" s="170" customFormat="1" ht="12.75" thickBot="1" x14ac:dyDescent="0.25">
      <c r="A12" s="354" t="s">
        <v>89</v>
      </c>
      <c r="B12" s="169">
        <f>4134207+úpravy!C119+úpravy!C125+úpravy!C129+úpravy!C133+úpravy!C162+úpravy!C186</f>
        <v>5428435.5099999998</v>
      </c>
      <c r="C12" s="169">
        <f>1489783+úpravy!D133+úpravy!D148</f>
        <v>2226187</v>
      </c>
      <c r="D12" s="165">
        <f>4155129+úpravy!E121+úpravy!E127+úpravy!E148+úpravy!E133</f>
        <v>4533702.7699999996</v>
      </c>
      <c r="E12" s="167">
        <f>3958141+úpravy!F121+úpravy!F129+úpravy!F131+úpravy!F133+úpravy!F179</f>
        <v>4798494</v>
      </c>
      <c r="F12" s="165">
        <f>1728210+úpravy!G133</f>
        <v>1719272</v>
      </c>
      <c r="G12" s="167">
        <f>2912434+úpravy!H166</f>
        <v>3152434</v>
      </c>
      <c r="H12" s="165">
        <f>48924+úpravy!H169</f>
        <v>0</v>
      </c>
      <c r="I12" s="167">
        <f>1718640+úpravy!J123+úpravy!J125+úpravy!J127+úpravy!J135</f>
        <v>1663877</v>
      </c>
      <c r="J12" s="165">
        <f>310234+úpravy!M119+úpravy!M123+úpravy!M131+úpravy!M135+úpravy!M152+úpravy!M157</f>
        <v>535937.72</v>
      </c>
      <c r="K12" s="167"/>
      <c r="L12" s="353">
        <f t="shared" si="3"/>
        <v>24058340</v>
      </c>
      <c r="M12" s="478"/>
      <c r="N12" s="165"/>
      <c r="O12" s="167">
        <f>1866683+úpravy!O152</f>
        <v>1908314</v>
      </c>
      <c r="P12" s="166">
        <f>21332-úpravy!P109</f>
        <v>21332</v>
      </c>
      <c r="Q12" s="489">
        <v>0</v>
      </c>
      <c r="R12" s="166">
        <v>0</v>
      </c>
      <c r="S12" s="411">
        <f>L12+SUM(M12:R12)</f>
        <v>25987986</v>
      </c>
    </row>
    <row r="13" spans="1:19" s="170" customFormat="1" ht="12" x14ac:dyDescent="0.2">
      <c r="A13" s="171" t="s">
        <v>90</v>
      </c>
      <c r="B13" s="172">
        <f>úpravy!C93</f>
        <v>11500</v>
      </c>
      <c r="C13" s="172">
        <f>úpravy!D93</f>
        <v>4000</v>
      </c>
      <c r="D13" s="172">
        <f>úpravy!E93</f>
        <v>8000</v>
      </c>
      <c r="E13" s="174">
        <f>úpravy!F93</f>
        <v>8000</v>
      </c>
      <c r="F13" s="172">
        <f>úpravy!G93</f>
        <v>6500</v>
      </c>
      <c r="G13" s="174">
        <f>úpravy!H93</f>
        <v>12700</v>
      </c>
      <c r="H13" s="172"/>
      <c r="I13" s="174">
        <f>úpravy!J93</f>
        <v>4500</v>
      </c>
      <c r="J13" s="172"/>
      <c r="K13" s="174"/>
      <c r="L13" s="213">
        <f t="shared" si="3"/>
        <v>55200</v>
      </c>
      <c r="M13" s="174"/>
      <c r="N13" s="172"/>
      <c r="O13" s="174">
        <f>úpravy!O93+úpravy!O193</f>
        <v>9700</v>
      </c>
      <c r="P13" s="277">
        <f>44379+úpravy!P93+úpravy!P106+úpravy!P193</f>
        <v>9064</v>
      </c>
      <c r="Q13" s="488"/>
      <c r="R13" s="172"/>
      <c r="S13" s="213">
        <f>L13+SUM(M13:R13)</f>
        <v>73964</v>
      </c>
    </row>
    <row r="14" spans="1:19" s="170" customFormat="1" ht="12" x14ac:dyDescent="0.2">
      <c r="A14" s="171" t="s">
        <v>41</v>
      </c>
      <c r="B14" s="172"/>
      <c r="C14" s="172"/>
      <c r="D14" s="172"/>
      <c r="E14" s="174"/>
      <c r="F14" s="172"/>
      <c r="G14" s="174"/>
      <c r="H14" s="172"/>
      <c r="I14" s="174"/>
      <c r="J14" s="172"/>
      <c r="K14" s="174"/>
      <c r="L14" s="213">
        <f t="shared" si="3"/>
        <v>0</v>
      </c>
      <c r="M14" s="174"/>
      <c r="N14" s="172"/>
      <c r="O14" s="174"/>
      <c r="P14" s="211"/>
      <c r="Q14" s="174"/>
      <c r="R14" s="172"/>
      <c r="S14" s="213">
        <f>L14+SUM(M14:R14)</f>
        <v>0</v>
      </c>
    </row>
    <row r="15" spans="1:19" s="170" customFormat="1" ht="12" x14ac:dyDescent="0.2">
      <c r="A15" s="171" t="s">
        <v>91</v>
      </c>
      <c r="B15" s="73"/>
      <c r="C15" s="73"/>
      <c r="D15" s="73"/>
      <c r="E15" s="74"/>
      <c r="F15" s="73"/>
      <c r="G15" s="74"/>
      <c r="H15" s="172"/>
      <c r="I15" s="174"/>
      <c r="J15" s="172"/>
      <c r="K15" s="174"/>
      <c r="L15" s="213">
        <f t="shared" si="3"/>
        <v>0</v>
      </c>
      <c r="M15" s="174"/>
      <c r="N15" s="172"/>
      <c r="O15" s="174"/>
      <c r="P15" s="176"/>
      <c r="Q15" s="174"/>
      <c r="R15" s="172"/>
      <c r="S15" s="213">
        <f>L15+SUM(M15:R15)</f>
        <v>0</v>
      </c>
    </row>
    <row r="16" spans="1:19" s="170" customFormat="1" ht="12" x14ac:dyDescent="0.2">
      <c r="A16" s="171" t="s">
        <v>54</v>
      </c>
      <c r="B16" s="172"/>
      <c r="C16" s="172"/>
      <c r="D16" s="172"/>
      <c r="E16" s="174"/>
      <c r="F16" s="172"/>
      <c r="G16" s="174"/>
      <c r="H16" s="172"/>
      <c r="I16" s="174"/>
      <c r="J16" s="172"/>
      <c r="K16" s="174"/>
      <c r="L16" s="213">
        <f t="shared" si="3"/>
        <v>0</v>
      </c>
      <c r="M16" s="174"/>
      <c r="N16" s="172"/>
      <c r="O16" s="174"/>
      <c r="P16" s="211">
        <v>16224</v>
      </c>
      <c r="Q16" s="174"/>
      <c r="R16" s="172"/>
      <c r="S16" s="213">
        <f>L16+SUM(M16:R16)</f>
        <v>16224</v>
      </c>
    </row>
    <row r="17" spans="1:19" s="170" customFormat="1" ht="12" x14ac:dyDescent="0.2">
      <c r="A17" s="433" t="s">
        <v>177</v>
      </c>
      <c r="B17" s="172"/>
      <c r="C17" s="172"/>
      <c r="D17" s="172"/>
      <c r="E17" s="174"/>
      <c r="F17" s="172"/>
      <c r="G17" s="174">
        <f>úpravy!H103+úpravy!H109</f>
        <v>5220</v>
      </c>
      <c r="H17" s="172"/>
      <c r="I17" s="174"/>
      <c r="J17" s="172"/>
      <c r="K17" s="174"/>
      <c r="L17" s="213">
        <f t="shared" si="3"/>
        <v>5220</v>
      </c>
      <c r="M17" s="174"/>
      <c r="N17" s="172"/>
      <c r="O17" s="174">
        <f>úpravy!O103+úpravy!O109</f>
        <v>-5220</v>
      </c>
      <c r="P17" s="176"/>
      <c r="Q17" s="174"/>
      <c r="R17" s="172"/>
      <c r="S17" s="213">
        <f t="shared" ref="S17:S18" si="7">L17+SUM(M17:R17)</f>
        <v>0</v>
      </c>
    </row>
    <row r="18" spans="1:19" s="170" customFormat="1" ht="12" x14ac:dyDescent="0.2">
      <c r="A18" s="433" t="s">
        <v>172</v>
      </c>
      <c r="B18" s="172">
        <f>úpravy!C101</f>
        <v>120</v>
      </c>
      <c r="C18" s="172"/>
      <c r="D18" s="172"/>
      <c r="E18" s="174"/>
      <c r="F18" s="172"/>
      <c r="G18" s="174"/>
      <c r="H18" s="172"/>
      <c r="I18" s="174"/>
      <c r="J18" s="172"/>
      <c r="K18" s="174"/>
      <c r="L18" s="213">
        <f t="shared" si="3"/>
        <v>120</v>
      </c>
      <c r="M18" s="174"/>
      <c r="N18" s="172"/>
      <c r="O18" s="174">
        <f>úpravy!O101</f>
        <v>-120</v>
      </c>
      <c r="P18" s="176"/>
      <c r="Q18" s="174"/>
      <c r="R18" s="172"/>
      <c r="S18" s="213">
        <f t="shared" si="7"/>
        <v>0</v>
      </c>
    </row>
    <row r="19" spans="1:19" s="170" customFormat="1" ht="12" x14ac:dyDescent="0.2">
      <c r="A19" s="171" t="s">
        <v>167</v>
      </c>
      <c r="B19" s="282">
        <v>930477</v>
      </c>
      <c r="C19" s="282">
        <v>441842</v>
      </c>
      <c r="D19" s="282">
        <v>776800</v>
      </c>
      <c r="E19" s="457">
        <v>897746</v>
      </c>
      <c r="F19" s="282">
        <v>440411</v>
      </c>
      <c r="G19" s="457">
        <v>694307</v>
      </c>
      <c r="H19" s="172"/>
      <c r="I19" s="457">
        <v>193501</v>
      </c>
      <c r="J19" s="282">
        <v>125297</v>
      </c>
      <c r="K19" s="174"/>
      <c r="L19" s="213">
        <f t="shared" si="3"/>
        <v>4500381</v>
      </c>
      <c r="M19" s="174"/>
      <c r="N19" s="172"/>
      <c r="O19" s="471">
        <v>273928</v>
      </c>
      <c r="P19" s="176"/>
      <c r="Q19" s="174"/>
      <c r="R19" s="172"/>
      <c r="S19" s="213">
        <f t="shared" ref="S19:S24" si="8">L19+SUM(M19:R19)</f>
        <v>4774309</v>
      </c>
    </row>
    <row r="20" spans="1:19" s="170" customFormat="1" ht="12" x14ac:dyDescent="0.2">
      <c r="A20" s="171"/>
      <c r="B20" s="172"/>
      <c r="C20" s="172"/>
      <c r="D20" s="172"/>
      <c r="E20" s="174"/>
      <c r="F20" s="172"/>
      <c r="G20" s="174"/>
      <c r="H20" s="172"/>
      <c r="I20" s="174"/>
      <c r="J20" s="172"/>
      <c r="K20" s="174"/>
      <c r="L20" s="213">
        <f t="shared" si="3"/>
        <v>0</v>
      </c>
      <c r="M20" s="174"/>
      <c r="N20" s="172"/>
      <c r="O20" s="174"/>
      <c r="P20" s="176"/>
      <c r="Q20" s="174"/>
      <c r="R20" s="172"/>
      <c r="S20" s="213">
        <f t="shared" si="8"/>
        <v>0</v>
      </c>
    </row>
    <row r="21" spans="1:19" s="170" customFormat="1" ht="12" x14ac:dyDescent="0.2">
      <c r="A21" s="171"/>
      <c r="B21" s="172"/>
      <c r="C21" s="172"/>
      <c r="D21" s="172"/>
      <c r="E21" s="174"/>
      <c r="F21" s="172"/>
      <c r="G21" s="174"/>
      <c r="H21" s="172"/>
      <c r="I21" s="174"/>
      <c r="J21" s="172"/>
      <c r="K21" s="174"/>
      <c r="L21" s="213">
        <f t="shared" si="3"/>
        <v>0</v>
      </c>
      <c r="M21" s="174"/>
      <c r="N21" s="172"/>
      <c r="O21" s="174"/>
      <c r="P21" s="176"/>
      <c r="Q21" s="174"/>
      <c r="R21" s="172"/>
      <c r="S21" s="213">
        <f t="shared" si="8"/>
        <v>0</v>
      </c>
    </row>
    <row r="22" spans="1:19" s="177" customFormat="1" ht="12" x14ac:dyDescent="0.2">
      <c r="A22" s="380"/>
      <c r="B22" s="172"/>
      <c r="C22" s="172"/>
      <c r="D22" s="172" t="s">
        <v>92</v>
      </c>
      <c r="E22" s="174"/>
      <c r="F22" s="172"/>
      <c r="G22" s="174"/>
      <c r="H22" s="172"/>
      <c r="I22" s="174"/>
      <c r="J22" s="172"/>
      <c r="K22" s="174"/>
      <c r="L22" s="213">
        <f t="shared" si="3"/>
        <v>0</v>
      </c>
      <c r="M22" s="174"/>
      <c r="N22" s="172"/>
      <c r="O22" s="174"/>
      <c r="P22" s="172"/>
      <c r="Q22" s="174"/>
      <c r="R22" s="172"/>
      <c r="S22" s="213">
        <f t="shared" si="8"/>
        <v>0</v>
      </c>
    </row>
    <row r="23" spans="1:19" s="177" customFormat="1" ht="12" x14ac:dyDescent="0.2">
      <c r="A23" s="381"/>
      <c r="B23" s="193"/>
      <c r="C23" s="193"/>
      <c r="D23" s="193"/>
      <c r="E23" s="194"/>
      <c r="F23" s="193"/>
      <c r="G23" s="194"/>
      <c r="H23" s="193"/>
      <c r="I23" s="194"/>
      <c r="J23" s="193"/>
      <c r="K23" s="194"/>
      <c r="L23" s="237">
        <f t="shared" si="3"/>
        <v>0</v>
      </c>
      <c r="M23" s="194"/>
      <c r="N23" s="193"/>
      <c r="O23" s="194"/>
      <c r="P23" s="193"/>
      <c r="Q23" s="194"/>
      <c r="R23" s="193"/>
      <c r="S23" s="213">
        <f t="shared" si="8"/>
        <v>0</v>
      </c>
    </row>
    <row r="24" spans="1:19" s="177" customFormat="1" ht="12.75" thickBot="1" x14ac:dyDescent="0.25">
      <c r="A24" s="381"/>
      <c r="B24" s="193"/>
      <c r="C24" s="193"/>
      <c r="D24" s="193"/>
      <c r="E24" s="194"/>
      <c r="F24" s="193"/>
      <c r="G24" s="194"/>
      <c r="H24" s="193"/>
      <c r="I24" s="194"/>
      <c r="J24" s="193"/>
      <c r="K24" s="194"/>
      <c r="L24" s="237">
        <f t="shared" si="3"/>
        <v>0</v>
      </c>
      <c r="M24" s="194"/>
      <c r="N24" s="193"/>
      <c r="O24" s="194"/>
      <c r="P24" s="193"/>
      <c r="Q24" s="194"/>
      <c r="R24" s="193"/>
      <c r="S24" s="213">
        <f t="shared" si="8"/>
        <v>0</v>
      </c>
    </row>
    <row r="25" spans="1:19" s="168" customFormat="1" ht="21.6" customHeight="1" thickBot="1" x14ac:dyDescent="0.25">
      <c r="A25" s="178" t="s">
        <v>93</v>
      </c>
      <c r="B25" s="180">
        <f>SUM(B26:B33)</f>
        <v>2268491.4900000002</v>
      </c>
      <c r="C25" s="180">
        <f>SUM(C26:C33)</f>
        <v>940554</v>
      </c>
      <c r="D25" s="180">
        <f>SUM(D26:D33)</f>
        <v>1872113.23</v>
      </c>
      <c r="E25" s="179">
        <f>SUM(E26:E33)</f>
        <v>2093755.55</v>
      </c>
      <c r="F25" s="180">
        <f>SUM(F26:F33)</f>
        <v>762496</v>
      </c>
      <c r="G25" s="179">
        <f t="shared" ref="G25:J25" si="9">SUM(G26:G33)</f>
        <v>1335883</v>
      </c>
      <c r="H25" s="180">
        <f t="shared" si="9"/>
        <v>565</v>
      </c>
      <c r="I25" s="179">
        <f t="shared" si="9"/>
        <v>655382</v>
      </c>
      <c r="J25" s="180">
        <f t="shared" si="9"/>
        <v>250107.72999999998</v>
      </c>
      <c r="K25" s="179">
        <f t="shared" ref="K25:N25" si="10">SUM(K26:K32)</f>
        <v>0</v>
      </c>
      <c r="L25" s="180">
        <f t="shared" si="3"/>
        <v>10179348</v>
      </c>
      <c r="M25" s="179">
        <f t="shared" si="10"/>
        <v>0</v>
      </c>
      <c r="N25" s="180">
        <f t="shared" si="10"/>
        <v>0</v>
      </c>
      <c r="O25" s="179">
        <f>SUM(O26:O33)</f>
        <v>769007.67</v>
      </c>
      <c r="P25" s="180">
        <f>SUM(P26:P33)</f>
        <v>17084.330000000002</v>
      </c>
      <c r="Q25" s="179">
        <f>SUM(Q26:Q30)</f>
        <v>0</v>
      </c>
      <c r="R25" s="180">
        <f>SUM(R26:R30)</f>
        <v>0</v>
      </c>
      <c r="S25" s="180">
        <f t="shared" ref="S25:S33" si="11">L25+SUM(M25:R25)</f>
        <v>10965440</v>
      </c>
    </row>
    <row r="26" spans="1:19" s="186" customFormat="1" ht="12" x14ac:dyDescent="0.2">
      <c r="A26" s="181" t="s">
        <v>94</v>
      </c>
      <c r="B26" s="182">
        <f>1455241+úpravy!C120+úpravy!C126+úpravy!C130+úpravy!C134+úpravy!C163+úpravy!C187</f>
        <v>1936872.49</v>
      </c>
      <c r="C26" s="182">
        <f>524404+úpravy!D134+úpravy!D149</f>
        <v>783618</v>
      </c>
      <c r="D26" s="183">
        <f>1462605+úpravy!E122+úpravy!E128+úpravy!E149+úpravy!E134</f>
        <v>1595864.23</v>
      </c>
      <c r="E26" s="458">
        <f>1393265+úpravy!F122+úpravy!F130+úpravy!F132+úpravy!F134+úpravy!F180</f>
        <v>1774933.55</v>
      </c>
      <c r="F26" s="183">
        <f>608330+úpravy!G134</f>
        <v>605184</v>
      </c>
      <c r="G26" s="458">
        <f>1025177+úpravy!H167</f>
        <v>1085177</v>
      </c>
      <c r="H26" s="183">
        <f>17221+úpravy!H170</f>
        <v>565</v>
      </c>
      <c r="I26" s="458">
        <f>604962+úpravy!J124+úpravy!J126+úpravy!J128+úpravy!J136</f>
        <v>585685</v>
      </c>
      <c r="J26" s="183">
        <f>109203+úpravy!M120+úpravy!M124+úpravy!M132+úpravy!M136+úpravy!M153+úpravy!M158</f>
        <v>206000.72999999998</v>
      </c>
      <c r="K26" s="458"/>
      <c r="L26" s="184">
        <f t="shared" si="3"/>
        <v>8573900</v>
      </c>
      <c r="M26" s="476"/>
      <c r="N26" s="185"/>
      <c r="O26" s="372">
        <f>657071+úpravy!O153</f>
        <v>671727</v>
      </c>
      <c r="P26" s="356">
        <f>7509-úpravy!P110</f>
        <v>7509</v>
      </c>
      <c r="Q26" s="490">
        <v>0</v>
      </c>
      <c r="R26" s="185">
        <v>0</v>
      </c>
      <c r="S26" s="412">
        <f t="shared" si="11"/>
        <v>9253136</v>
      </c>
    </row>
    <row r="27" spans="1:19" s="186" customFormat="1" ht="12" x14ac:dyDescent="0.2">
      <c r="A27" s="187" t="s">
        <v>90</v>
      </c>
      <c r="B27" s="188">
        <f>úpravy!C94</f>
        <v>4048</v>
      </c>
      <c r="C27" s="188">
        <f>úpravy!D94</f>
        <v>1408</v>
      </c>
      <c r="D27" s="188">
        <f>úpravy!E94</f>
        <v>2816</v>
      </c>
      <c r="E27" s="189">
        <f>úpravy!F94</f>
        <v>2816</v>
      </c>
      <c r="F27" s="188">
        <f>úpravy!G94</f>
        <v>2288</v>
      </c>
      <c r="G27" s="189">
        <f>úpravy!H94</f>
        <v>4471</v>
      </c>
      <c r="H27" s="188"/>
      <c r="I27" s="189">
        <f>úpravy!J94</f>
        <v>1584</v>
      </c>
      <c r="J27" s="188"/>
      <c r="K27" s="189"/>
      <c r="L27" s="208">
        <f t="shared" si="3"/>
        <v>19431</v>
      </c>
      <c r="M27" s="189"/>
      <c r="N27" s="188"/>
      <c r="O27" s="272">
        <f>úpravy!O94+úpravy!O194</f>
        <v>2740.67</v>
      </c>
      <c r="P27" s="93">
        <f>15621+úpravy!P94+úpravy!P107+úpravy!P194</f>
        <v>3864.33</v>
      </c>
      <c r="Q27" s="272"/>
      <c r="R27" s="188"/>
      <c r="S27" s="208">
        <f t="shared" si="11"/>
        <v>26036</v>
      </c>
    </row>
    <row r="28" spans="1:19" s="177" customFormat="1" ht="12" x14ac:dyDescent="0.2">
      <c r="A28" s="187" t="s">
        <v>41</v>
      </c>
      <c r="B28" s="188"/>
      <c r="C28" s="188"/>
      <c r="D28" s="188"/>
      <c r="E28" s="189"/>
      <c r="F28" s="188"/>
      <c r="G28" s="189"/>
      <c r="H28" s="188"/>
      <c r="I28" s="189"/>
      <c r="J28" s="188"/>
      <c r="K28" s="189"/>
      <c r="L28" s="208">
        <f t="shared" si="3"/>
        <v>0</v>
      </c>
      <c r="M28" s="189"/>
      <c r="N28" s="188"/>
      <c r="O28" s="486"/>
      <c r="P28" s="211"/>
      <c r="Q28" s="272"/>
      <c r="R28" s="188"/>
      <c r="S28" s="208">
        <f t="shared" si="11"/>
        <v>0</v>
      </c>
    </row>
    <row r="29" spans="1:19" s="186" customFormat="1" ht="12" x14ac:dyDescent="0.2">
      <c r="A29" s="187" t="s">
        <v>54</v>
      </c>
      <c r="B29" s="188"/>
      <c r="C29" s="188"/>
      <c r="D29" s="188"/>
      <c r="E29" s="189"/>
      <c r="F29" s="188"/>
      <c r="G29" s="189"/>
      <c r="H29" s="188"/>
      <c r="I29" s="189"/>
      <c r="J29" s="188"/>
      <c r="K29" s="189"/>
      <c r="L29" s="208">
        <f t="shared" si="3"/>
        <v>0</v>
      </c>
      <c r="M29" s="189"/>
      <c r="N29" s="188"/>
      <c r="O29" s="189"/>
      <c r="P29" s="211">
        <v>5711</v>
      </c>
      <c r="Q29" s="272"/>
      <c r="R29" s="188"/>
      <c r="S29" s="208">
        <f t="shared" si="11"/>
        <v>5711</v>
      </c>
    </row>
    <row r="30" spans="1:19" s="186" customFormat="1" ht="12" x14ac:dyDescent="0.2">
      <c r="A30" s="187" t="s">
        <v>95</v>
      </c>
      <c r="B30" s="188"/>
      <c r="C30" s="188"/>
      <c r="D30" s="188"/>
      <c r="E30" s="189"/>
      <c r="F30" s="188"/>
      <c r="G30" s="189"/>
      <c r="H30" s="188"/>
      <c r="I30" s="189"/>
      <c r="J30" s="188"/>
      <c r="K30" s="189"/>
      <c r="L30" s="208">
        <f t="shared" si="3"/>
        <v>0</v>
      </c>
      <c r="M30" s="189"/>
      <c r="N30" s="188"/>
      <c r="O30" s="189"/>
      <c r="P30" s="211"/>
      <c r="Q30" s="272"/>
      <c r="R30" s="188"/>
      <c r="S30" s="208">
        <f t="shared" si="11"/>
        <v>0</v>
      </c>
    </row>
    <row r="31" spans="1:19" s="186" customFormat="1" ht="12" x14ac:dyDescent="0.2">
      <c r="A31" s="434" t="s">
        <v>176</v>
      </c>
      <c r="B31" s="188"/>
      <c r="C31" s="188"/>
      <c r="D31" s="188"/>
      <c r="E31" s="189"/>
      <c r="F31" s="188"/>
      <c r="G31" s="189">
        <f>úpravy!H104+úpravy!H110</f>
        <v>1840</v>
      </c>
      <c r="H31" s="188"/>
      <c r="I31" s="189"/>
      <c r="J31" s="188"/>
      <c r="K31" s="189"/>
      <c r="L31" s="208">
        <f t="shared" si="3"/>
        <v>1840</v>
      </c>
      <c r="M31" s="189"/>
      <c r="N31" s="188"/>
      <c r="O31" s="189">
        <f>úpravy!O104+úpravy!O110</f>
        <v>-1840</v>
      </c>
      <c r="P31" s="211"/>
      <c r="Q31" s="272"/>
      <c r="R31" s="188"/>
      <c r="S31" s="208">
        <f t="shared" si="11"/>
        <v>0</v>
      </c>
    </row>
    <row r="32" spans="1:19" s="186" customFormat="1" ht="12" x14ac:dyDescent="0.2">
      <c r="A32" s="434" t="s">
        <v>281</v>
      </c>
      <c r="B32" s="188">
        <f>úpravy!C102</f>
        <v>43</v>
      </c>
      <c r="C32" s="188"/>
      <c r="D32" s="188"/>
      <c r="E32" s="189"/>
      <c r="F32" s="188"/>
      <c r="G32" s="189"/>
      <c r="H32" s="188"/>
      <c r="I32" s="189"/>
      <c r="J32" s="188"/>
      <c r="K32" s="189"/>
      <c r="L32" s="208">
        <f t="shared" si="3"/>
        <v>43</v>
      </c>
      <c r="M32" s="189"/>
      <c r="N32" s="188"/>
      <c r="O32" s="189">
        <f>úpravy!O102</f>
        <v>-43</v>
      </c>
      <c r="P32" s="211"/>
      <c r="Q32" s="272"/>
      <c r="R32" s="188"/>
      <c r="S32" s="208">
        <f t="shared" si="11"/>
        <v>0</v>
      </c>
    </row>
    <row r="33" spans="1:19" s="186" customFormat="1" ht="12" x14ac:dyDescent="0.2">
      <c r="A33" s="187" t="s">
        <v>167</v>
      </c>
      <c r="B33" s="282">
        <v>327528</v>
      </c>
      <c r="C33" s="282">
        <v>155528</v>
      </c>
      <c r="D33" s="282">
        <v>273433</v>
      </c>
      <c r="E33" s="457">
        <v>316006</v>
      </c>
      <c r="F33" s="282">
        <v>155024</v>
      </c>
      <c r="G33" s="457">
        <v>244395</v>
      </c>
      <c r="H33" s="188"/>
      <c r="I33" s="457">
        <v>68113</v>
      </c>
      <c r="J33" s="282">
        <v>44107</v>
      </c>
      <c r="K33" s="189"/>
      <c r="L33" s="208">
        <f t="shared" si="3"/>
        <v>1584134</v>
      </c>
      <c r="M33" s="189"/>
      <c r="N33" s="188"/>
      <c r="O33" s="471">
        <v>96423</v>
      </c>
      <c r="P33" s="211"/>
      <c r="Q33" s="272"/>
      <c r="R33" s="188"/>
      <c r="S33" s="208">
        <f t="shared" si="11"/>
        <v>1680557</v>
      </c>
    </row>
    <row r="34" spans="1:19" s="168" customFormat="1" ht="19.350000000000001" customHeight="1" thickBot="1" x14ac:dyDescent="0.25">
      <c r="A34" s="382" t="s">
        <v>96</v>
      </c>
      <c r="B34" s="383">
        <f>SUM(B35:B36)+B51</f>
        <v>1266179.8999999999</v>
      </c>
      <c r="C34" s="383">
        <f>C35+C36+C37+C51+C39</f>
        <v>850663.13</v>
      </c>
      <c r="D34" s="383">
        <f>SUM(D35:D36)</f>
        <v>1801755.3</v>
      </c>
      <c r="E34" s="384">
        <f>SUM(E35:E36)</f>
        <v>1872615.8</v>
      </c>
      <c r="F34" s="383">
        <f>SUM(F35:F36)</f>
        <v>608672.53</v>
      </c>
      <c r="G34" s="384">
        <f>SUM(G35:G36)</f>
        <v>1014390.96</v>
      </c>
      <c r="H34" s="383">
        <f t="shared" ref="H34:I34" si="12">SUM(H35:H36)+H51</f>
        <v>475</v>
      </c>
      <c r="I34" s="384">
        <f t="shared" si="12"/>
        <v>711441.54</v>
      </c>
      <c r="J34" s="383">
        <f>SUM(J35:J36)</f>
        <v>96254.09</v>
      </c>
      <c r="K34" s="384">
        <f>SUM(K35:K36)</f>
        <v>0</v>
      </c>
      <c r="L34" s="385">
        <f t="shared" si="3"/>
        <v>8222448.25</v>
      </c>
      <c r="M34" s="384">
        <f>SUM(M35:M36)</f>
        <v>0</v>
      </c>
      <c r="N34" s="383">
        <f>SUM(N35:N36)</f>
        <v>0</v>
      </c>
      <c r="O34" s="384">
        <f>SUM(O35:O36)+O51</f>
        <v>1047247.52</v>
      </c>
      <c r="P34" s="383">
        <f>SUM(P35:P66)</f>
        <v>808358</v>
      </c>
      <c r="Q34" s="384">
        <f>SUM(Q35:Q66)</f>
        <v>0</v>
      </c>
      <c r="R34" s="383">
        <f>SUM(R35:R36)+R51+R52+R54+R55+R56+R57</f>
        <v>514520.98000000004</v>
      </c>
      <c r="S34" s="383">
        <f t="shared" ref="S34:S73" si="13">L34+SUM(M34:R34)</f>
        <v>10592574.75</v>
      </c>
    </row>
    <row r="35" spans="1:19" s="198" customFormat="1" ht="12" x14ac:dyDescent="0.2">
      <c r="A35" s="195" t="s">
        <v>97</v>
      </c>
      <c r="B35" s="196">
        <f>1043207+B52+B50+B57+B55+B54</f>
        <v>1266179.8999999999</v>
      </c>
      <c r="C35" s="196">
        <f>410955+úpravy!D150+C52+C53+C57+C55+C54</f>
        <v>791663.13</v>
      </c>
      <c r="D35" s="196">
        <f>1091253+úpravy!E150+D52+D51+D50+D57+úpravy!E191+D54</f>
        <v>1801755.3</v>
      </c>
      <c r="E35" s="459">
        <f>794846+E52+E50+úpravy!F181+E51+E57+E55+E54</f>
        <v>1872615.8</v>
      </c>
      <c r="F35" s="196">
        <f>473738+F52+F50+F51+F57+F55+F54</f>
        <v>608672.53</v>
      </c>
      <c r="G35" s="459">
        <f>801993+G52+G51+G50+G57+G55+G54</f>
        <v>1014390.96</v>
      </c>
      <c r="H35" s="196">
        <f>287+H54</f>
        <v>475</v>
      </c>
      <c r="I35" s="459">
        <f>592514+I52+I50+I57+I55+I54</f>
        <v>711441.54</v>
      </c>
      <c r="J35" s="196">
        <f>79357+úpravy!M151+J55+J54</f>
        <v>96254.09</v>
      </c>
      <c r="K35" s="459"/>
      <c r="L35" s="197">
        <f>SUM(B35:K35)</f>
        <v>8163448.25</v>
      </c>
      <c r="M35" s="459"/>
      <c r="N35" s="196"/>
      <c r="O35" s="459">
        <f>71066+484999+úpravy!O151+úpravy!O160+O57+O58+O54</f>
        <v>1047247.52</v>
      </c>
      <c r="P35" s="196">
        <f>354600-15000-40000-115000-10000-174600</f>
        <v>0</v>
      </c>
      <c r="Q35" s="459"/>
      <c r="R35" s="495"/>
      <c r="S35" s="413">
        <f t="shared" si="13"/>
        <v>9210695.7699999996</v>
      </c>
    </row>
    <row r="36" spans="1:19" s="198" customFormat="1" ht="12" x14ac:dyDescent="0.2">
      <c r="A36" s="171" t="s">
        <v>99</v>
      </c>
      <c r="B36" s="199"/>
      <c r="C36" s="199"/>
      <c r="D36" s="199"/>
      <c r="E36" s="200"/>
      <c r="F36" s="199"/>
      <c r="G36" s="200"/>
      <c r="H36" s="199"/>
      <c r="I36" s="200"/>
      <c r="J36" s="199"/>
      <c r="K36" s="200"/>
      <c r="L36" s="201">
        <f t="shared" si="3"/>
        <v>0</v>
      </c>
      <c r="M36" s="203"/>
      <c r="N36" s="202"/>
      <c r="O36" s="203"/>
      <c r="P36" s="202">
        <v>51997</v>
      </c>
      <c r="Q36" s="203"/>
      <c r="R36" s="202"/>
      <c r="S36" s="204">
        <f t="shared" si="13"/>
        <v>51997</v>
      </c>
    </row>
    <row r="37" spans="1:19" s="198" customFormat="1" ht="12" x14ac:dyDescent="0.2">
      <c r="A37" s="171" t="s">
        <v>98</v>
      </c>
      <c r="B37" s="202"/>
      <c r="C37" s="202">
        <v>44000</v>
      </c>
      <c r="D37" s="202"/>
      <c r="E37" s="203"/>
      <c r="F37" s="202"/>
      <c r="G37" s="203"/>
      <c r="H37" s="202"/>
      <c r="I37" s="203"/>
      <c r="J37" s="202"/>
      <c r="K37" s="203"/>
      <c r="L37" s="204">
        <f t="shared" si="3"/>
        <v>44000</v>
      </c>
      <c r="M37" s="203"/>
      <c r="N37" s="202"/>
      <c r="O37" s="203"/>
      <c r="P37" s="202"/>
      <c r="Q37" s="203"/>
      <c r="R37" s="202"/>
      <c r="S37" s="204">
        <f>L37</f>
        <v>44000</v>
      </c>
    </row>
    <row r="38" spans="1:19" s="198" customFormat="1" ht="12" x14ac:dyDescent="0.2">
      <c r="A38" s="171" t="s">
        <v>232</v>
      </c>
      <c r="B38" s="202"/>
      <c r="C38" s="202"/>
      <c r="D38" s="202"/>
      <c r="E38" s="203"/>
      <c r="F38" s="202"/>
      <c r="G38" s="203"/>
      <c r="H38" s="202"/>
      <c r="I38" s="203"/>
      <c r="J38" s="202"/>
      <c r="K38" s="203"/>
      <c r="L38" s="204">
        <f t="shared" si="3"/>
        <v>0</v>
      </c>
      <c r="M38" s="203"/>
      <c r="N38" s="202"/>
      <c r="O38" s="203"/>
      <c r="P38" s="202">
        <v>15000</v>
      </c>
      <c r="Q38" s="203"/>
      <c r="R38" s="202"/>
      <c r="S38" s="204">
        <f>P38</f>
        <v>15000</v>
      </c>
    </row>
    <row r="39" spans="1:19" s="198" customFormat="1" ht="12" x14ac:dyDescent="0.2">
      <c r="A39" s="171" t="s">
        <v>100</v>
      </c>
      <c r="B39" s="202"/>
      <c r="C39" s="202">
        <v>15000</v>
      </c>
      <c r="D39" s="202"/>
      <c r="E39" s="203"/>
      <c r="F39" s="202"/>
      <c r="G39" s="203"/>
      <c r="H39" s="202"/>
      <c r="I39" s="203"/>
      <c r="J39" s="202"/>
      <c r="K39" s="203"/>
      <c r="L39" s="204">
        <f t="shared" si="3"/>
        <v>15000</v>
      </c>
      <c r="M39" s="203"/>
      <c r="N39" s="202"/>
      <c r="O39" s="203"/>
      <c r="P39" s="202"/>
      <c r="Q39" s="203"/>
      <c r="R39" s="202"/>
      <c r="S39" s="204">
        <f>L39</f>
        <v>15000</v>
      </c>
    </row>
    <row r="40" spans="1:19" s="198" customFormat="1" ht="12" x14ac:dyDescent="0.2">
      <c r="A40" s="386" t="s">
        <v>137</v>
      </c>
      <c r="B40" s="202"/>
      <c r="C40" s="202"/>
      <c r="D40" s="202"/>
      <c r="E40" s="203"/>
      <c r="F40" s="202"/>
      <c r="G40" s="203"/>
      <c r="H40" s="202"/>
      <c r="I40" s="203"/>
      <c r="J40" s="202"/>
      <c r="K40" s="203"/>
      <c r="L40" s="204">
        <f t="shared" si="3"/>
        <v>0</v>
      </c>
      <c r="M40" s="203"/>
      <c r="N40" s="202"/>
      <c r="O40" s="203"/>
      <c r="P40" s="202">
        <f>úpravy!P144</f>
        <v>76200</v>
      </c>
      <c r="Q40" s="203"/>
      <c r="R40" s="202"/>
      <c r="S40" s="204">
        <f t="shared" si="13"/>
        <v>76200</v>
      </c>
    </row>
    <row r="41" spans="1:19" s="198" customFormat="1" ht="12" x14ac:dyDescent="0.2">
      <c r="A41" s="171" t="s">
        <v>101</v>
      </c>
      <c r="B41" s="202"/>
      <c r="C41" s="202"/>
      <c r="D41" s="202"/>
      <c r="E41" s="203"/>
      <c r="F41" s="202"/>
      <c r="G41" s="203"/>
      <c r="H41" s="202"/>
      <c r="I41" s="203"/>
      <c r="J41" s="202"/>
      <c r="K41" s="203"/>
      <c r="L41" s="204">
        <f t="shared" si="3"/>
        <v>0</v>
      </c>
      <c r="M41" s="203"/>
      <c r="N41" s="202"/>
      <c r="O41" s="203"/>
      <c r="P41" s="202">
        <v>37000</v>
      </c>
      <c r="Q41" s="203"/>
      <c r="R41" s="202"/>
      <c r="S41" s="204">
        <f t="shared" si="13"/>
        <v>37000</v>
      </c>
    </row>
    <row r="42" spans="1:19" s="198" customFormat="1" ht="12" x14ac:dyDescent="0.2">
      <c r="A42" s="171" t="s">
        <v>233</v>
      </c>
      <c r="B42" s="202"/>
      <c r="C42" s="202"/>
      <c r="D42" s="202"/>
      <c r="E42" s="203"/>
      <c r="F42" s="202"/>
      <c r="G42" s="203"/>
      <c r="H42" s="202"/>
      <c r="I42" s="203"/>
      <c r="J42" s="202"/>
      <c r="K42" s="203"/>
      <c r="L42" s="204">
        <f t="shared" si="3"/>
        <v>0</v>
      </c>
      <c r="M42" s="203"/>
      <c r="N42" s="202"/>
      <c r="O42" s="203"/>
      <c r="P42" s="202">
        <v>40000</v>
      </c>
      <c r="Q42" s="203"/>
      <c r="R42" s="202"/>
      <c r="S42" s="204">
        <f t="shared" si="13"/>
        <v>40000</v>
      </c>
    </row>
    <row r="43" spans="1:19" s="198" customFormat="1" ht="12" x14ac:dyDescent="0.2">
      <c r="A43" s="387" t="s">
        <v>209</v>
      </c>
      <c r="B43" s="202"/>
      <c r="C43" s="202"/>
      <c r="D43" s="202"/>
      <c r="E43" s="203"/>
      <c r="F43" s="202"/>
      <c r="G43" s="203"/>
      <c r="H43" s="202"/>
      <c r="I43" s="203"/>
      <c r="J43" s="202"/>
      <c r="K43" s="203"/>
      <c r="L43" s="204">
        <f t="shared" si="3"/>
        <v>0</v>
      </c>
      <c r="M43" s="203"/>
      <c r="N43" s="202"/>
      <c r="O43" s="203"/>
      <c r="P43" s="202">
        <v>60000</v>
      </c>
      <c r="Q43" s="203"/>
      <c r="R43" s="202"/>
      <c r="S43" s="204">
        <f t="shared" si="13"/>
        <v>60000</v>
      </c>
    </row>
    <row r="44" spans="1:19" s="198" customFormat="1" ht="12" x14ac:dyDescent="0.2">
      <c r="A44" s="388" t="s">
        <v>240</v>
      </c>
      <c r="B44" s="202"/>
      <c r="C44" s="202"/>
      <c r="D44" s="202"/>
      <c r="E44" s="203"/>
      <c r="F44" s="202"/>
      <c r="G44" s="203"/>
      <c r="H44" s="202"/>
      <c r="I44" s="203"/>
      <c r="J44" s="202"/>
      <c r="K44" s="203"/>
      <c r="L44" s="204">
        <f t="shared" si="3"/>
        <v>0</v>
      </c>
      <c r="M44" s="203"/>
      <c r="N44" s="202"/>
      <c r="O44" s="203"/>
      <c r="P44" s="202">
        <v>10000</v>
      </c>
      <c r="Q44" s="203"/>
      <c r="R44" s="202"/>
      <c r="S44" s="204">
        <f t="shared" si="13"/>
        <v>10000</v>
      </c>
    </row>
    <row r="45" spans="1:19" s="198" customFormat="1" ht="12" x14ac:dyDescent="0.2">
      <c r="A45" s="171" t="s">
        <v>241</v>
      </c>
      <c r="B45" s="202"/>
      <c r="C45" s="202"/>
      <c r="D45" s="202"/>
      <c r="E45" s="203"/>
      <c r="F45" s="202"/>
      <c r="G45" s="203"/>
      <c r="H45" s="202"/>
      <c r="I45" s="203"/>
      <c r="J45" s="202"/>
      <c r="K45" s="203"/>
      <c r="L45" s="204">
        <f t="shared" si="3"/>
        <v>0</v>
      </c>
      <c r="M45" s="203"/>
      <c r="N45" s="202"/>
      <c r="O45" s="203"/>
      <c r="P45" s="172">
        <v>12000</v>
      </c>
      <c r="Q45" s="203"/>
      <c r="R45" s="202"/>
      <c r="S45" s="204">
        <f t="shared" si="13"/>
        <v>12000</v>
      </c>
    </row>
    <row r="46" spans="1:19" s="198" customFormat="1" ht="12" x14ac:dyDescent="0.2">
      <c r="A46" s="171" t="s">
        <v>234</v>
      </c>
      <c r="B46" s="202"/>
      <c r="C46" s="202"/>
      <c r="D46" s="202"/>
      <c r="E46" s="203"/>
      <c r="F46" s="202"/>
      <c r="G46" s="203"/>
      <c r="H46" s="202"/>
      <c r="I46" s="203"/>
      <c r="J46" s="202"/>
      <c r="K46" s="203"/>
      <c r="L46" s="204">
        <f t="shared" ref="L46:L51" si="14">SUM(B46:K46)</f>
        <v>0</v>
      </c>
      <c r="M46" s="203"/>
      <c r="N46" s="202"/>
      <c r="O46" s="203"/>
      <c r="P46" s="172">
        <v>10000</v>
      </c>
      <c r="Q46" s="203"/>
      <c r="R46" s="202"/>
      <c r="S46" s="204">
        <f t="shared" si="13"/>
        <v>10000</v>
      </c>
    </row>
    <row r="47" spans="1:19" s="198" customFormat="1" ht="12" x14ac:dyDescent="0.2">
      <c r="A47" s="171" t="s">
        <v>236</v>
      </c>
      <c r="B47" s="202"/>
      <c r="C47" s="202"/>
      <c r="D47" s="202"/>
      <c r="E47" s="203"/>
      <c r="F47" s="202"/>
      <c r="G47" s="203"/>
      <c r="H47" s="202"/>
      <c r="I47" s="203"/>
      <c r="J47" s="202"/>
      <c r="K47" s="203"/>
      <c r="L47" s="204">
        <f t="shared" si="14"/>
        <v>0</v>
      </c>
      <c r="M47" s="203"/>
      <c r="N47" s="202"/>
      <c r="O47" s="203"/>
      <c r="P47" s="172">
        <v>174600</v>
      </c>
      <c r="Q47" s="203"/>
      <c r="R47" s="202"/>
      <c r="S47" s="204">
        <f t="shared" si="13"/>
        <v>174600</v>
      </c>
    </row>
    <row r="48" spans="1:19" s="198" customFormat="1" ht="12" x14ac:dyDescent="0.2">
      <c r="A48" s="171" t="s">
        <v>102</v>
      </c>
      <c r="B48" s="202"/>
      <c r="C48" s="202"/>
      <c r="D48" s="202"/>
      <c r="E48" s="203"/>
      <c r="F48" s="202"/>
      <c r="G48" s="203"/>
      <c r="H48" s="202"/>
      <c r="I48" s="203"/>
      <c r="J48" s="202"/>
      <c r="K48" s="203"/>
      <c r="L48" s="204">
        <f t="shared" si="14"/>
        <v>0</v>
      </c>
      <c r="M48" s="203"/>
      <c r="N48" s="202"/>
      <c r="O48" s="203"/>
      <c r="P48" s="202">
        <v>162000</v>
      </c>
      <c r="Q48" s="203"/>
      <c r="R48" s="202"/>
      <c r="S48" s="204">
        <f t="shared" si="13"/>
        <v>162000</v>
      </c>
    </row>
    <row r="49" spans="1:19" s="198" customFormat="1" ht="12" x14ac:dyDescent="0.2">
      <c r="A49" s="171" t="s">
        <v>103</v>
      </c>
      <c r="B49" s="202"/>
      <c r="C49" s="202"/>
      <c r="D49" s="202"/>
      <c r="E49" s="203"/>
      <c r="F49" s="202"/>
      <c r="G49" s="203"/>
      <c r="H49" s="202"/>
      <c r="I49" s="203"/>
      <c r="J49" s="202"/>
      <c r="K49" s="203"/>
      <c r="L49" s="204">
        <f t="shared" si="14"/>
        <v>0</v>
      </c>
      <c r="M49" s="203"/>
      <c r="N49" s="202"/>
      <c r="O49" s="203"/>
      <c r="P49" s="202">
        <v>59000</v>
      </c>
      <c r="Q49" s="203"/>
      <c r="R49" s="202"/>
      <c r="S49" s="204">
        <f t="shared" si="13"/>
        <v>59000</v>
      </c>
    </row>
    <row r="50" spans="1:19" s="198" customFormat="1" ht="12" x14ac:dyDescent="0.2">
      <c r="A50" s="171" t="s">
        <v>235</v>
      </c>
      <c r="B50" s="202">
        <f>úpravy!C95+úpravy!C96</f>
        <v>6760</v>
      </c>
      <c r="C50" s="202"/>
      <c r="D50" s="202">
        <f>úpravy!E95+úpravy!E96</f>
        <v>8450</v>
      </c>
      <c r="E50" s="203">
        <f>úpravy!F95+úpravy!F96</f>
        <v>6760</v>
      </c>
      <c r="F50" s="202">
        <f>úpravy!G95+úpravy!G96</f>
        <v>3380</v>
      </c>
      <c r="G50" s="203">
        <f>úpravy!H95+úpravy!H96</f>
        <v>6760</v>
      </c>
      <c r="H50" s="202"/>
      <c r="I50" s="203">
        <f>úpravy!J95+úpravy!J96</f>
        <v>4056</v>
      </c>
      <c r="J50" s="202"/>
      <c r="K50" s="203"/>
      <c r="L50" s="204">
        <f t="shared" si="14"/>
        <v>36166</v>
      </c>
      <c r="M50" s="203"/>
      <c r="N50" s="202"/>
      <c r="O50" s="203"/>
      <c r="P50" s="202">
        <f>115000+úpravy!P95+úpravy!P96</f>
        <v>78834</v>
      </c>
      <c r="Q50" s="203"/>
      <c r="R50" s="202"/>
      <c r="S50" s="204">
        <f t="shared" si="13"/>
        <v>115000</v>
      </c>
    </row>
    <row r="51" spans="1:19" s="198" customFormat="1" ht="12" x14ac:dyDescent="0.2">
      <c r="A51" s="171" t="s">
        <v>104</v>
      </c>
      <c r="B51" s="199"/>
      <c r="C51" s="199"/>
      <c r="D51" s="199">
        <f>úpravy!E164</f>
        <v>3420</v>
      </c>
      <c r="E51" s="200">
        <f>úpravy!F164</f>
        <v>501</v>
      </c>
      <c r="F51" s="199">
        <f>úpravy!G164</f>
        <v>352</v>
      </c>
      <c r="G51" s="200">
        <f>úpravy!H164</f>
        <v>1000</v>
      </c>
      <c r="H51" s="199"/>
      <c r="I51" s="200"/>
      <c r="J51" s="199"/>
      <c r="K51" s="200"/>
      <c r="L51" s="201">
        <f t="shared" si="14"/>
        <v>5273</v>
      </c>
      <c r="M51" s="200"/>
      <c r="N51" s="199"/>
      <c r="O51" s="200"/>
      <c r="P51" s="199">
        <f>27000+úpravy!P164</f>
        <v>21727</v>
      </c>
      <c r="Q51" s="189"/>
      <c r="R51" s="188"/>
      <c r="S51" s="208">
        <f>SUM(L51:R51)</f>
        <v>27000</v>
      </c>
    </row>
    <row r="52" spans="1:19" s="198" customFormat="1" ht="12" x14ac:dyDescent="0.2">
      <c r="A52" s="171" t="s">
        <v>316</v>
      </c>
      <c r="B52" s="188">
        <f>úpravy!C23</f>
        <v>89655</v>
      </c>
      <c r="C52" s="188">
        <f>úpravy!D23</f>
        <v>195735</v>
      </c>
      <c r="D52" s="188">
        <f>úpravy!E23</f>
        <v>11149</v>
      </c>
      <c r="E52" s="189">
        <f>úpravy!F23</f>
        <v>317954</v>
      </c>
      <c r="F52" s="188">
        <f>úpravy!G23</f>
        <v>72524</v>
      </c>
      <c r="G52" s="189">
        <f>úpravy!H23+úpravy!H184</f>
        <v>168740</v>
      </c>
      <c r="H52" s="188"/>
      <c r="I52" s="189">
        <f>úpravy!J23</f>
        <v>62634</v>
      </c>
      <c r="J52" s="188"/>
      <c r="K52" s="189"/>
      <c r="L52" s="208">
        <f t="shared" si="3"/>
        <v>918391</v>
      </c>
      <c r="M52" s="189"/>
      <c r="N52" s="188"/>
      <c r="O52" s="189"/>
      <c r="P52" s="188">
        <f>úpravy!P30+úpravy!P172+úpravy!P184+úpravy!P192</f>
        <v>0</v>
      </c>
      <c r="Q52" s="189"/>
      <c r="R52" s="298">
        <f>úpravy!R192+úpravy!R201</f>
        <v>100827.41000000003</v>
      </c>
      <c r="S52" s="208">
        <f>L52+SUM(M52:R52)</f>
        <v>1019218.41</v>
      </c>
    </row>
    <row r="53" spans="1:19" s="198" customFormat="1" ht="12" x14ac:dyDescent="0.2">
      <c r="A53" s="171" t="s">
        <v>207</v>
      </c>
      <c r="B53" s="188"/>
      <c r="C53" s="188">
        <f>úpravy!D175</f>
        <v>-5078.76</v>
      </c>
      <c r="D53" s="188"/>
      <c r="E53" s="189"/>
      <c r="F53" s="188"/>
      <c r="G53" s="189"/>
      <c r="H53" s="188"/>
      <c r="I53" s="189"/>
      <c r="J53" s="188"/>
      <c r="K53" s="189"/>
      <c r="L53" s="208">
        <f t="shared" si="3"/>
        <v>-5078.76</v>
      </c>
      <c r="M53" s="189"/>
      <c r="N53" s="188"/>
      <c r="O53" s="189"/>
      <c r="P53" s="188"/>
      <c r="Q53" s="189">
        <f>úpravy!Q175+úpravy!Q176</f>
        <v>0</v>
      </c>
      <c r="R53" s="188"/>
      <c r="S53" s="208">
        <f t="shared" si="13"/>
        <v>-5078.76</v>
      </c>
    </row>
    <row r="54" spans="1:19" s="198" customFormat="1" ht="12" x14ac:dyDescent="0.2">
      <c r="A54" s="171" t="s">
        <v>303</v>
      </c>
      <c r="B54" s="188">
        <f>úpravy!C207</f>
        <v>20266</v>
      </c>
      <c r="C54" s="188">
        <f>úpravy!D207</f>
        <v>7455</v>
      </c>
      <c r="D54" s="188">
        <f>úpravy!E207</f>
        <v>20554</v>
      </c>
      <c r="E54" s="189">
        <f>úpravy!F207</f>
        <v>18520</v>
      </c>
      <c r="F54" s="188">
        <f>úpravy!G207</f>
        <v>8635</v>
      </c>
      <c r="G54" s="189">
        <f>úpravy!H207</f>
        <v>14567</v>
      </c>
      <c r="H54" s="188">
        <f>úpravy!I207</f>
        <v>188</v>
      </c>
      <c r="I54" s="189">
        <f>úpravy!J207</f>
        <v>9112</v>
      </c>
      <c r="J54" s="188">
        <f>úpravy!M207</f>
        <v>1525</v>
      </c>
      <c r="K54" s="189"/>
      <c r="L54" s="208">
        <f t="shared" si="3"/>
        <v>100822</v>
      </c>
      <c r="M54" s="174"/>
      <c r="N54" s="172"/>
      <c r="O54" s="174">
        <f>úpravy!O207</f>
        <v>12461</v>
      </c>
      <c r="P54" s="172"/>
      <c r="Q54" s="174"/>
      <c r="R54" s="298">
        <f>úpravy!R31+úpravy!R207</f>
        <v>0</v>
      </c>
      <c r="S54" s="213">
        <f t="shared" si="13"/>
        <v>113283</v>
      </c>
    </row>
    <row r="55" spans="1:19" s="198" customFormat="1" ht="12" x14ac:dyDescent="0.2">
      <c r="A55" s="171" t="s">
        <v>305</v>
      </c>
      <c r="B55" s="188">
        <f>úpravy!C204</f>
        <v>82175.66</v>
      </c>
      <c r="C55" s="188">
        <f>úpravy!D204</f>
        <v>57587.9</v>
      </c>
      <c r="D55" s="188"/>
      <c r="E55" s="189">
        <f>úpravy!F204</f>
        <v>97127.31</v>
      </c>
      <c r="F55" s="188">
        <f>úpravy!G204</f>
        <v>42753.97</v>
      </c>
      <c r="G55" s="189">
        <f>úpravy!H204</f>
        <v>1399.37</v>
      </c>
      <c r="H55" s="188"/>
      <c r="I55" s="189">
        <f>úpravy!J204</f>
        <v>36959.26</v>
      </c>
      <c r="J55" s="188">
        <f>úpravy!M204</f>
        <v>19085.09</v>
      </c>
      <c r="K55" s="189"/>
      <c r="L55" s="208">
        <f t="shared" si="3"/>
        <v>337088.56</v>
      </c>
      <c r="M55" s="174"/>
      <c r="N55" s="172"/>
      <c r="O55" s="174"/>
      <c r="P55" s="172"/>
      <c r="Q55" s="174"/>
      <c r="R55" s="298">
        <f>úpravy!R39+úpravy!R204</f>
        <v>377997.44</v>
      </c>
      <c r="S55" s="213">
        <f t="shared" si="13"/>
        <v>715086</v>
      </c>
    </row>
    <row r="56" spans="1:19" s="198" customFormat="1" ht="12" x14ac:dyDescent="0.2">
      <c r="A56" s="171" t="s">
        <v>304</v>
      </c>
      <c r="B56" s="188"/>
      <c r="C56" s="188"/>
      <c r="D56" s="188"/>
      <c r="E56" s="189"/>
      <c r="F56" s="188"/>
      <c r="G56" s="189"/>
      <c r="H56" s="188"/>
      <c r="I56" s="189"/>
      <c r="J56" s="188"/>
      <c r="K56" s="189"/>
      <c r="L56" s="208">
        <f t="shared" si="3"/>
        <v>0</v>
      </c>
      <c r="M56" s="174"/>
      <c r="N56" s="172"/>
      <c r="O56" s="174"/>
      <c r="P56" s="172"/>
      <c r="Q56" s="174"/>
      <c r="R56" s="298">
        <f>úpravy!R35+úpravy!R182</f>
        <v>0</v>
      </c>
      <c r="S56" s="213">
        <f t="shared" si="13"/>
        <v>0</v>
      </c>
    </row>
    <row r="57" spans="1:19" s="198" customFormat="1" ht="12" x14ac:dyDescent="0.2">
      <c r="A57" s="171" t="s">
        <v>311</v>
      </c>
      <c r="B57" s="188">
        <f>úpravy!C36+úpravy!C198</f>
        <v>24116.240000000002</v>
      </c>
      <c r="C57" s="188">
        <f>úpravy!D36+úpravy!D198</f>
        <v>12139.99</v>
      </c>
      <c r="D57" s="188">
        <f>úpravy!E36+úpravy!E198</f>
        <v>18443.3</v>
      </c>
      <c r="E57" s="189">
        <f>úpravy!F36+úpravy!F198</f>
        <v>23871.489999999998</v>
      </c>
      <c r="F57" s="188">
        <f>úpravy!G36+úpravy!G198</f>
        <v>7289.5599999999995</v>
      </c>
      <c r="G57" s="189">
        <f>úpravy!H36+úpravy!H198</f>
        <v>19931.589999999997</v>
      </c>
      <c r="H57" s="188"/>
      <c r="I57" s="189">
        <f>úpravy!J36+úpravy!J198</f>
        <v>6166.28</v>
      </c>
      <c r="J57" s="188"/>
      <c r="K57" s="189"/>
      <c r="L57" s="208">
        <f t="shared" si="3"/>
        <v>111958.44999999998</v>
      </c>
      <c r="M57" s="174"/>
      <c r="N57" s="172"/>
      <c r="O57" s="174">
        <f>úpravy!O36+úpravy!O198</f>
        <v>14287.52</v>
      </c>
      <c r="P57" s="172"/>
      <c r="Q57" s="174"/>
      <c r="R57" s="298">
        <f>úpravy!R36+úpravy!R195+úpravy!R198</f>
        <v>35696.130000000005</v>
      </c>
      <c r="S57" s="176">
        <f t="shared" si="13"/>
        <v>161942.09999999998</v>
      </c>
    </row>
    <row r="58" spans="1:19" s="198" customFormat="1" ht="12.75" thickBot="1" x14ac:dyDescent="0.25">
      <c r="A58" s="171" t="s">
        <v>315</v>
      </c>
      <c r="B58" s="188"/>
      <c r="C58" s="188"/>
      <c r="D58" s="188"/>
      <c r="E58" s="189"/>
      <c r="F58" s="188"/>
      <c r="G58" s="189"/>
      <c r="H58" s="188"/>
      <c r="I58" s="189"/>
      <c r="J58" s="188"/>
      <c r="K58" s="189"/>
      <c r="L58" s="208">
        <f t="shared" si="3"/>
        <v>0</v>
      </c>
      <c r="M58" s="174"/>
      <c r="N58" s="172"/>
      <c r="O58" s="174">
        <f>úpravy!O35</f>
        <v>3880</v>
      </c>
      <c r="P58" s="172"/>
      <c r="Q58" s="174"/>
      <c r="R58" s="172"/>
      <c r="S58" s="213">
        <f t="shared" si="13"/>
        <v>3880</v>
      </c>
    </row>
    <row r="59" spans="1:19" s="198" customFormat="1" ht="12.75" hidden="1" thickBot="1" x14ac:dyDescent="0.25">
      <c r="A59" s="171"/>
      <c r="B59" s="172"/>
      <c r="C59" s="172"/>
      <c r="D59" s="172"/>
      <c r="E59" s="174"/>
      <c r="F59" s="172"/>
      <c r="G59" s="174"/>
      <c r="H59" s="172"/>
      <c r="I59" s="174"/>
      <c r="J59" s="172"/>
      <c r="K59" s="174"/>
      <c r="L59" s="213">
        <f t="shared" si="3"/>
        <v>0</v>
      </c>
      <c r="M59" s="174"/>
      <c r="N59" s="172"/>
      <c r="O59" s="174"/>
      <c r="P59" s="172"/>
      <c r="Q59" s="174"/>
      <c r="R59" s="172"/>
      <c r="S59" s="213">
        <f t="shared" si="13"/>
        <v>0</v>
      </c>
    </row>
    <row r="60" spans="1:19" s="198" customFormat="1" ht="12.75" hidden="1" thickBot="1" x14ac:dyDescent="0.25">
      <c r="A60" s="171"/>
      <c r="B60" s="172"/>
      <c r="C60" s="172"/>
      <c r="D60" s="172"/>
      <c r="E60" s="174"/>
      <c r="F60" s="172"/>
      <c r="G60" s="174"/>
      <c r="H60" s="172"/>
      <c r="I60" s="174"/>
      <c r="J60" s="172"/>
      <c r="K60" s="174"/>
      <c r="L60" s="213">
        <f t="shared" si="3"/>
        <v>0</v>
      </c>
      <c r="M60" s="174"/>
      <c r="N60" s="172"/>
      <c r="O60" s="174"/>
      <c r="P60" s="172"/>
      <c r="Q60" s="174"/>
      <c r="R60" s="172"/>
      <c r="S60" s="213">
        <f t="shared" si="13"/>
        <v>0</v>
      </c>
    </row>
    <row r="61" spans="1:19" s="198" customFormat="1" ht="12.75" hidden="1" thickBot="1" x14ac:dyDescent="0.25">
      <c r="A61" s="171"/>
      <c r="B61" s="172"/>
      <c r="C61" s="172"/>
      <c r="D61" s="172"/>
      <c r="E61" s="174"/>
      <c r="F61" s="172"/>
      <c r="G61" s="174"/>
      <c r="H61" s="172"/>
      <c r="I61" s="174"/>
      <c r="J61" s="172"/>
      <c r="K61" s="174"/>
      <c r="L61" s="213">
        <f t="shared" si="3"/>
        <v>0</v>
      </c>
      <c r="M61" s="174"/>
      <c r="N61" s="172"/>
      <c r="O61" s="174"/>
      <c r="P61" s="172"/>
      <c r="Q61" s="174"/>
      <c r="R61" s="172"/>
      <c r="S61" s="213">
        <f t="shared" si="13"/>
        <v>0</v>
      </c>
    </row>
    <row r="62" spans="1:19" s="198" customFormat="1" ht="12.75" hidden="1" thickBot="1" x14ac:dyDescent="0.25">
      <c r="A62" s="171"/>
      <c r="B62" s="172"/>
      <c r="C62" s="172"/>
      <c r="D62" s="172"/>
      <c r="E62" s="174"/>
      <c r="F62" s="172"/>
      <c r="G62" s="174"/>
      <c r="H62" s="172"/>
      <c r="I62" s="174"/>
      <c r="J62" s="172"/>
      <c r="K62" s="174"/>
      <c r="L62" s="213">
        <f t="shared" si="3"/>
        <v>0</v>
      </c>
      <c r="M62" s="174"/>
      <c r="N62" s="172"/>
      <c r="O62" s="174"/>
      <c r="P62" s="172"/>
      <c r="Q62" s="174"/>
      <c r="R62" s="172"/>
      <c r="S62" s="213">
        <f t="shared" si="13"/>
        <v>0</v>
      </c>
    </row>
    <row r="63" spans="1:19" s="198" customFormat="1" ht="12.75" hidden="1" thickBot="1" x14ac:dyDescent="0.25">
      <c r="A63" s="171"/>
      <c r="B63" s="172"/>
      <c r="C63" s="172"/>
      <c r="D63" s="172"/>
      <c r="E63" s="174"/>
      <c r="F63" s="172"/>
      <c r="G63" s="174"/>
      <c r="H63" s="172"/>
      <c r="I63" s="174"/>
      <c r="J63" s="172"/>
      <c r="K63" s="174"/>
      <c r="L63" s="213">
        <f t="shared" si="3"/>
        <v>0</v>
      </c>
      <c r="M63" s="174"/>
      <c r="N63" s="172"/>
      <c r="O63" s="174"/>
      <c r="P63" s="172"/>
      <c r="Q63" s="174"/>
      <c r="R63" s="172"/>
      <c r="S63" s="213">
        <f t="shared" si="13"/>
        <v>0</v>
      </c>
    </row>
    <row r="64" spans="1:19" s="198" customFormat="1" ht="12.75" hidden="1" thickBot="1" x14ac:dyDescent="0.25">
      <c r="A64" s="171"/>
      <c r="B64" s="172"/>
      <c r="C64" s="172"/>
      <c r="D64" s="172"/>
      <c r="E64" s="174"/>
      <c r="F64" s="172"/>
      <c r="G64" s="174"/>
      <c r="H64" s="172"/>
      <c r="I64" s="174"/>
      <c r="J64" s="172"/>
      <c r="K64" s="174"/>
      <c r="L64" s="213">
        <f t="shared" si="3"/>
        <v>0</v>
      </c>
      <c r="M64" s="174"/>
      <c r="N64" s="172"/>
      <c r="O64" s="174"/>
      <c r="P64" s="172"/>
      <c r="Q64" s="174"/>
      <c r="R64" s="172"/>
      <c r="S64" s="213">
        <f t="shared" si="13"/>
        <v>0</v>
      </c>
    </row>
    <row r="65" spans="1:19" s="198" customFormat="1" ht="12.75" hidden="1" thickBot="1" x14ac:dyDescent="0.25">
      <c r="A65" s="171"/>
      <c r="B65" s="172"/>
      <c r="C65" s="172"/>
      <c r="D65" s="172"/>
      <c r="E65" s="174"/>
      <c r="F65" s="172"/>
      <c r="G65" s="174"/>
      <c r="H65" s="172"/>
      <c r="I65" s="174"/>
      <c r="J65" s="172"/>
      <c r="K65" s="174"/>
      <c r="L65" s="213">
        <f t="shared" si="3"/>
        <v>0</v>
      </c>
      <c r="M65" s="174"/>
      <c r="N65" s="172"/>
      <c r="O65" s="174"/>
      <c r="P65" s="172"/>
      <c r="Q65" s="174"/>
      <c r="R65" s="172"/>
      <c r="S65" s="213">
        <f t="shared" si="13"/>
        <v>0</v>
      </c>
    </row>
    <row r="66" spans="1:19" s="198" customFormat="1" ht="12.75" hidden="1" thickBot="1" x14ac:dyDescent="0.25">
      <c r="A66" s="171"/>
      <c r="B66" s="172"/>
      <c r="C66" s="172"/>
      <c r="D66" s="172"/>
      <c r="E66" s="174"/>
      <c r="F66" s="172"/>
      <c r="G66" s="174"/>
      <c r="H66" s="172"/>
      <c r="I66" s="174"/>
      <c r="J66" s="172"/>
      <c r="K66" s="174"/>
      <c r="L66" s="213">
        <f t="shared" si="3"/>
        <v>0</v>
      </c>
      <c r="M66" s="174"/>
      <c r="N66" s="172"/>
      <c r="O66" s="174"/>
      <c r="P66" s="172"/>
      <c r="Q66" s="174"/>
      <c r="R66" s="172"/>
      <c r="S66" s="213">
        <f t="shared" si="13"/>
        <v>0</v>
      </c>
    </row>
    <row r="67" spans="1:19" s="198" customFormat="1" ht="12.75" hidden="1" thickBot="1" x14ac:dyDescent="0.25">
      <c r="A67" s="205" t="s">
        <v>105</v>
      </c>
      <c r="B67" s="172"/>
      <c r="C67" s="172"/>
      <c r="D67" s="172"/>
      <c r="E67" s="174"/>
      <c r="F67" s="172"/>
      <c r="G67" s="174"/>
      <c r="H67" s="172"/>
      <c r="I67" s="174"/>
      <c r="J67" s="172"/>
      <c r="K67" s="174"/>
      <c r="L67" s="206">
        <f t="shared" si="3"/>
        <v>0</v>
      </c>
      <c r="M67" s="174"/>
      <c r="N67" s="172"/>
      <c r="O67" s="174"/>
      <c r="P67" s="176"/>
      <c r="Q67" s="174"/>
      <c r="R67" s="496"/>
      <c r="S67" s="173">
        <f t="shared" si="13"/>
        <v>0</v>
      </c>
    </row>
    <row r="68" spans="1:19" s="198" customFormat="1" ht="12.75" hidden="1" thickBot="1" x14ac:dyDescent="0.25">
      <c r="A68" s="205" t="s">
        <v>106</v>
      </c>
      <c r="B68" s="172"/>
      <c r="C68" s="172"/>
      <c r="D68" s="172"/>
      <c r="E68" s="174"/>
      <c r="F68" s="172"/>
      <c r="G68" s="174"/>
      <c r="H68" s="172"/>
      <c r="I68" s="174"/>
      <c r="J68" s="172"/>
      <c r="K68" s="174"/>
      <c r="L68" s="206">
        <f t="shared" si="3"/>
        <v>0</v>
      </c>
      <c r="M68" s="174"/>
      <c r="N68" s="172"/>
      <c r="O68" s="174"/>
      <c r="P68" s="176"/>
      <c r="Q68" s="174"/>
      <c r="R68" s="497"/>
      <c r="S68" s="173">
        <f t="shared" si="13"/>
        <v>0</v>
      </c>
    </row>
    <row r="69" spans="1:19" s="198" customFormat="1" ht="19.5" hidden="1" customHeight="1" x14ac:dyDescent="0.2">
      <c r="A69" s="205" t="s">
        <v>107</v>
      </c>
      <c r="B69" s="172"/>
      <c r="C69" s="172"/>
      <c r="D69" s="172"/>
      <c r="E69" s="174"/>
      <c r="F69" s="172"/>
      <c r="G69" s="174"/>
      <c r="H69" s="172"/>
      <c r="I69" s="174"/>
      <c r="J69" s="172"/>
      <c r="K69" s="174"/>
      <c r="L69" s="206">
        <f t="shared" si="3"/>
        <v>0</v>
      </c>
      <c r="M69" s="174"/>
      <c r="N69" s="172"/>
      <c r="O69" s="174"/>
      <c r="P69" s="176"/>
      <c r="Q69" s="174"/>
      <c r="R69" s="497"/>
      <c r="S69" s="173">
        <f t="shared" si="13"/>
        <v>0</v>
      </c>
    </row>
    <row r="70" spans="1:19" s="198" customFormat="1" ht="19.5" hidden="1" customHeight="1" x14ac:dyDescent="0.2">
      <c r="A70" s="205" t="s">
        <v>108</v>
      </c>
      <c r="B70" s="172"/>
      <c r="C70" s="172"/>
      <c r="D70" s="172"/>
      <c r="E70" s="174"/>
      <c r="F70" s="172"/>
      <c r="G70" s="174"/>
      <c r="H70" s="172"/>
      <c r="I70" s="174"/>
      <c r="J70" s="172"/>
      <c r="K70" s="174"/>
      <c r="L70" s="206">
        <f t="shared" si="3"/>
        <v>0</v>
      </c>
      <c r="M70" s="174"/>
      <c r="N70" s="172"/>
      <c r="O70" s="174"/>
      <c r="P70" s="176"/>
      <c r="Q70" s="174"/>
      <c r="R70" s="497"/>
      <c r="S70" s="173">
        <f t="shared" si="13"/>
        <v>0</v>
      </c>
    </row>
    <row r="71" spans="1:19" s="198" customFormat="1" ht="19.5" hidden="1" customHeight="1" x14ac:dyDescent="0.2">
      <c r="A71" s="205" t="s">
        <v>109</v>
      </c>
      <c r="B71" s="172"/>
      <c r="C71" s="172"/>
      <c r="D71" s="172"/>
      <c r="E71" s="174"/>
      <c r="F71" s="172"/>
      <c r="G71" s="174"/>
      <c r="H71" s="172"/>
      <c r="I71" s="174"/>
      <c r="J71" s="172"/>
      <c r="K71" s="174"/>
      <c r="L71" s="206">
        <f t="shared" si="3"/>
        <v>0</v>
      </c>
      <c r="M71" s="174"/>
      <c r="N71" s="172"/>
      <c r="O71" s="174"/>
      <c r="P71" s="176"/>
      <c r="Q71" s="174"/>
      <c r="R71" s="497"/>
      <c r="S71" s="173">
        <f t="shared" si="13"/>
        <v>0</v>
      </c>
    </row>
    <row r="72" spans="1:19" s="198" customFormat="1" ht="19.5" hidden="1" customHeight="1" x14ac:dyDescent="0.2">
      <c r="A72" s="205" t="s">
        <v>110</v>
      </c>
      <c r="B72" s="172"/>
      <c r="C72" s="172"/>
      <c r="D72" s="172"/>
      <c r="E72" s="174"/>
      <c r="F72" s="172"/>
      <c r="G72" s="174"/>
      <c r="H72" s="172"/>
      <c r="I72" s="174"/>
      <c r="J72" s="172"/>
      <c r="K72" s="174"/>
      <c r="L72" s="206">
        <f t="shared" ref="L72:L135" si="15">SUM(B72:K72)</f>
        <v>0</v>
      </c>
      <c r="M72" s="174"/>
      <c r="N72" s="172"/>
      <c r="O72" s="174"/>
      <c r="P72" s="176"/>
      <c r="Q72" s="174"/>
      <c r="R72" s="497"/>
      <c r="S72" s="173">
        <f t="shared" si="13"/>
        <v>0</v>
      </c>
    </row>
    <row r="73" spans="1:19" s="198" customFormat="1" ht="12.75" hidden="1" thickBot="1" x14ac:dyDescent="0.25">
      <c r="A73" s="171" t="s">
        <v>111</v>
      </c>
      <c r="B73" s="172"/>
      <c r="C73" s="172"/>
      <c r="D73" s="172"/>
      <c r="E73" s="174"/>
      <c r="F73" s="172"/>
      <c r="G73" s="174"/>
      <c r="H73" s="172"/>
      <c r="I73" s="174"/>
      <c r="J73" s="172"/>
      <c r="K73" s="174"/>
      <c r="L73" s="206">
        <f t="shared" si="15"/>
        <v>0</v>
      </c>
      <c r="M73" s="174"/>
      <c r="N73" s="172"/>
      <c r="O73" s="174"/>
      <c r="P73" s="190"/>
      <c r="Q73" s="207"/>
      <c r="R73" s="497"/>
      <c r="S73" s="173">
        <f t="shared" si="13"/>
        <v>0</v>
      </c>
    </row>
    <row r="74" spans="1:19" s="198" customFormat="1" ht="12.75" hidden="1" thickBot="1" x14ac:dyDescent="0.25">
      <c r="A74" s="171" t="s">
        <v>112</v>
      </c>
      <c r="B74" s="172"/>
      <c r="C74" s="172"/>
      <c r="D74" s="172"/>
      <c r="E74" s="174"/>
      <c r="F74" s="172"/>
      <c r="G74" s="174"/>
      <c r="H74" s="172"/>
      <c r="I74" s="174"/>
      <c r="J74" s="172"/>
      <c r="K74" s="174"/>
      <c r="L74" s="206">
        <f t="shared" si="15"/>
        <v>0</v>
      </c>
      <c r="M74" s="174"/>
      <c r="N74" s="172"/>
      <c r="O74" s="174"/>
      <c r="P74" s="175"/>
      <c r="Q74" s="174"/>
      <c r="R74" s="175"/>
      <c r="S74" s="173">
        <f t="shared" ref="S74:S87" si="16">L74+SUM(M74:R74)</f>
        <v>0</v>
      </c>
    </row>
    <row r="75" spans="1:19" s="198" customFormat="1" ht="12.75" hidden="1" thickBot="1" x14ac:dyDescent="0.25">
      <c r="A75" s="187" t="s">
        <v>113</v>
      </c>
      <c r="B75" s="188"/>
      <c r="C75" s="188"/>
      <c r="D75" s="188"/>
      <c r="E75" s="189"/>
      <c r="F75" s="188"/>
      <c r="G75" s="189"/>
      <c r="H75" s="188"/>
      <c r="I75" s="189"/>
      <c r="J75" s="188"/>
      <c r="K75" s="189"/>
      <c r="L75" s="208">
        <f t="shared" si="15"/>
        <v>0</v>
      </c>
      <c r="M75" s="189"/>
      <c r="N75" s="188"/>
      <c r="O75" s="189"/>
      <c r="P75" s="190"/>
      <c r="Q75" s="209"/>
      <c r="R75" s="190"/>
      <c r="S75" s="414">
        <f t="shared" si="16"/>
        <v>0</v>
      </c>
    </row>
    <row r="76" spans="1:19" s="198" customFormat="1" ht="27" hidden="1" customHeight="1" x14ac:dyDescent="0.2">
      <c r="A76" s="210" t="s">
        <v>114</v>
      </c>
      <c r="B76" s="188"/>
      <c r="C76" s="188"/>
      <c r="D76" s="188"/>
      <c r="E76" s="189"/>
      <c r="F76" s="188"/>
      <c r="G76" s="189"/>
      <c r="H76" s="188"/>
      <c r="I76" s="189"/>
      <c r="J76" s="188"/>
      <c r="K76" s="189"/>
      <c r="L76" s="208">
        <f t="shared" si="15"/>
        <v>0</v>
      </c>
      <c r="M76" s="189"/>
      <c r="N76" s="188"/>
      <c r="O76" s="189"/>
      <c r="P76" s="211"/>
      <c r="Q76" s="189"/>
      <c r="R76" s="188"/>
      <c r="S76" s="414">
        <f t="shared" si="16"/>
        <v>0</v>
      </c>
    </row>
    <row r="77" spans="1:19" s="198" customFormat="1" ht="12.75" hidden="1" thickBot="1" x14ac:dyDescent="0.25">
      <c r="A77" s="212" t="s">
        <v>115</v>
      </c>
      <c r="B77" s="172"/>
      <c r="C77" s="172"/>
      <c r="D77" s="172"/>
      <c r="E77" s="174"/>
      <c r="F77" s="172"/>
      <c r="G77" s="174"/>
      <c r="H77" s="172"/>
      <c r="I77" s="174"/>
      <c r="J77" s="172"/>
      <c r="K77" s="174"/>
      <c r="L77" s="213">
        <f t="shared" si="15"/>
        <v>0</v>
      </c>
      <c r="M77" s="174"/>
      <c r="N77" s="172"/>
      <c r="O77" s="174"/>
      <c r="P77" s="176"/>
      <c r="Q77" s="174"/>
      <c r="R77" s="172"/>
      <c r="S77" s="173">
        <f t="shared" si="16"/>
        <v>0</v>
      </c>
    </row>
    <row r="78" spans="1:19" s="198" customFormat="1" ht="12.75" hidden="1" thickBot="1" x14ac:dyDescent="0.25">
      <c r="A78" s="214" t="s">
        <v>116</v>
      </c>
      <c r="B78" s="172"/>
      <c r="C78" s="172"/>
      <c r="D78" s="172"/>
      <c r="E78" s="174"/>
      <c r="F78" s="172"/>
      <c r="G78" s="174"/>
      <c r="H78" s="172"/>
      <c r="I78" s="174"/>
      <c r="J78" s="172"/>
      <c r="K78" s="174"/>
      <c r="L78" s="213">
        <f t="shared" si="15"/>
        <v>0</v>
      </c>
      <c r="M78" s="174"/>
      <c r="N78" s="172"/>
      <c r="O78" s="174"/>
      <c r="P78" s="176"/>
      <c r="Q78" s="174"/>
      <c r="R78" s="172"/>
      <c r="S78" s="173">
        <f t="shared" si="16"/>
        <v>0</v>
      </c>
    </row>
    <row r="79" spans="1:19" s="198" customFormat="1" ht="12.75" hidden="1" thickBot="1" x14ac:dyDescent="0.25">
      <c r="A79" s="214" t="s">
        <v>117</v>
      </c>
      <c r="B79" s="172"/>
      <c r="C79" s="172"/>
      <c r="D79" s="172"/>
      <c r="E79" s="174"/>
      <c r="F79" s="172"/>
      <c r="G79" s="174"/>
      <c r="H79" s="172"/>
      <c r="I79" s="174"/>
      <c r="J79" s="172"/>
      <c r="K79" s="174"/>
      <c r="L79" s="213">
        <f t="shared" si="15"/>
        <v>0</v>
      </c>
      <c r="M79" s="174"/>
      <c r="N79" s="172"/>
      <c r="O79" s="174"/>
      <c r="P79" s="176"/>
      <c r="Q79" s="174"/>
      <c r="R79" s="172"/>
      <c r="S79" s="173">
        <f t="shared" si="16"/>
        <v>0</v>
      </c>
    </row>
    <row r="80" spans="1:19" s="198" customFormat="1" ht="12.75" hidden="1" thickBot="1" x14ac:dyDescent="0.25">
      <c r="A80" s="214" t="s">
        <v>118</v>
      </c>
      <c r="B80" s="172"/>
      <c r="C80" s="172"/>
      <c r="D80" s="172"/>
      <c r="E80" s="174"/>
      <c r="F80" s="172"/>
      <c r="G80" s="174"/>
      <c r="H80" s="172"/>
      <c r="I80" s="174"/>
      <c r="J80" s="172"/>
      <c r="K80" s="174"/>
      <c r="L80" s="213">
        <f t="shared" si="15"/>
        <v>0</v>
      </c>
      <c r="M80" s="174"/>
      <c r="N80" s="172"/>
      <c r="O80" s="174"/>
      <c r="P80" s="176"/>
      <c r="Q80" s="174"/>
      <c r="R80" s="172"/>
      <c r="S80" s="173">
        <f t="shared" si="16"/>
        <v>0</v>
      </c>
    </row>
    <row r="81" spans="1:19" s="198" customFormat="1" ht="12.75" hidden="1" thickBot="1" x14ac:dyDescent="0.25">
      <c r="A81" s="214" t="s">
        <v>119</v>
      </c>
      <c r="B81" s="172"/>
      <c r="C81" s="172"/>
      <c r="D81" s="172"/>
      <c r="E81" s="174"/>
      <c r="F81" s="172"/>
      <c r="G81" s="174"/>
      <c r="H81" s="172"/>
      <c r="I81" s="174"/>
      <c r="J81" s="172"/>
      <c r="K81" s="174"/>
      <c r="L81" s="213">
        <f t="shared" si="15"/>
        <v>0</v>
      </c>
      <c r="M81" s="174"/>
      <c r="N81" s="172"/>
      <c r="O81" s="174"/>
      <c r="P81" s="176"/>
      <c r="Q81" s="174"/>
      <c r="R81" s="172"/>
      <c r="S81" s="173">
        <f t="shared" si="16"/>
        <v>0</v>
      </c>
    </row>
    <row r="82" spans="1:19" s="198" customFormat="1" ht="12.75" hidden="1" thickBot="1" x14ac:dyDescent="0.25">
      <c r="A82" s="214" t="s">
        <v>120</v>
      </c>
      <c r="B82" s="172"/>
      <c r="C82" s="172"/>
      <c r="D82" s="172"/>
      <c r="E82" s="174"/>
      <c r="F82" s="172"/>
      <c r="G82" s="174"/>
      <c r="H82" s="172"/>
      <c r="I82" s="174"/>
      <c r="J82" s="172"/>
      <c r="K82" s="174"/>
      <c r="L82" s="213">
        <f t="shared" si="15"/>
        <v>0</v>
      </c>
      <c r="M82" s="174"/>
      <c r="N82" s="172"/>
      <c r="O82" s="174"/>
      <c r="P82" s="176"/>
      <c r="Q82" s="174"/>
      <c r="R82" s="172"/>
      <c r="S82" s="173">
        <f t="shared" si="16"/>
        <v>0</v>
      </c>
    </row>
    <row r="83" spans="1:19" s="198" customFormat="1" ht="24.75" hidden="1" thickBot="1" x14ac:dyDescent="0.25">
      <c r="A83" s="214" t="s">
        <v>121</v>
      </c>
      <c r="B83" s="172"/>
      <c r="C83" s="172"/>
      <c r="D83" s="172"/>
      <c r="E83" s="174"/>
      <c r="F83" s="172"/>
      <c r="G83" s="174"/>
      <c r="H83" s="172"/>
      <c r="I83" s="174"/>
      <c r="J83" s="172"/>
      <c r="K83" s="174"/>
      <c r="L83" s="213">
        <f t="shared" si="15"/>
        <v>0</v>
      </c>
      <c r="M83" s="174"/>
      <c r="N83" s="172"/>
      <c r="O83" s="174"/>
      <c r="P83" s="176"/>
      <c r="Q83" s="174"/>
      <c r="R83" s="172"/>
      <c r="S83" s="173">
        <f t="shared" si="16"/>
        <v>0</v>
      </c>
    </row>
    <row r="84" spans="1:19" s="198" customFormat="1" ht="12.75" hidden="1" thickBot="1" x14ac:dyDescent="0.25">
      <c r="A84" s="214" t="s">
        <v>122</v>
      </c>
      <c r="B84" s="172"/>
      <c r="C84" s="172"/>
      <c r="D84" s="172"/>
      <c r="E84" s="174"/>
      <c r="F84" s="172"/>
      <c r="G84" s="174"/>
      <c r="H84" s="172"/>
      <c r="I84" s="174"/>
      <c r="J84" s="172"/>
      <c r="K84" s="174"/>
      <c r="L84" s="213">
        <f t="shared" si="15"/>
        <v>0</v>
      </c>
      <c r="M84" s="174"/>
      <c r="N84" s="172"/>
      <c r="O84" s="174"/>
      <c r="P84" s="176"/>
      <c r="Q84" s="174"/>
      <c r="R84" s="172"/>
      <c r="S84" s="173">
        <f t="shared" si="16"/>
        <v>0</v>
      </c>
    </row>
    <row r="85" spans="1:19" s="198" customFormat="1" ht="12.75" hidden="1" thickBot="1" x14ac:dyDescent="0.25">
      <c r="A85" s="214" t="s">
        <v>123</v>
      </c>
      <c r="B85" s="172"/>
      <c r="C85" s="172"/>
      <c r="D85" s="172"/>
      <c r="E85" s="174"/>
      <c r="F85" s="172"/>
      <c r="G85" s="174"/>
      <c r="H85" s="172"/>
      <c r="I85" s="174"/>
      <c r="J85" s="172"/>
      <c r="K85" s="174"/>
      <c r="L85" s="213">
        <f t="shared" si="15"/>
        <v>0</v>
      </c>
      <c r="M85" s="174"/>
      <c r="N85" s="172"/>
      <c r="O85" s="174"/>
      <c r="P85" s="176"/>
      <c r="Q85" s="209"/>
      <c r="R85" s="172"/>
      <c r="S85" s="173">
        <f t="shared" si="16"/>
        <v>0</v>
      </c>
    </row>
    <row r="86" spans="1:19" s="198" customFormat="1" ht="12.75" hidden="1" thickBot="1" x14ac:dyDescent="0.25">
      <c r="A86" s="215" t="s">
        <v>124</v>
      </c>
      <c r="B86" s="175"/>
      <c r="C86" s="175"/>
      <c r="D86" s="175"/>
      <c r="E86" s="216"/>
      <c r="F86" s="175"/>
      <c r="G86" s="216"/>
      <c r="H86" s="175"/>
      <c r="I86" s="216"/>
      <c r="J86" s="175"/>
      <c r="K86" s="216"/>
      <c r="L86" s="208">
        <f t="shared" si="15"/>
        <v>0</v>
      </c>
      <c r="M86" s="174"/>
      <c r="N86" s="172"/>
      <c r="O86" s="174"/>
      <c r="P86" s="176"/>
      <c r="Q86" s="217"/>
      <c r="R86" s="172"/>
      <c r="S86" s="173">
        <f t="shared" si="16"/>
        <v>0</v>
      </c>
    </row>
    <row r="87" spans="1:19" s="198" customFormat="1" ht="12.75" hidden="1" thickBot="1" x14ac:dyDescent="0.25">
      <c r="A87" s="218" t="s">
        <v>125</v>
      </c>
      <c r="B87" s="175"/>
      <c r="C87" s="172"/>
      <c r="D87" s="175"/>
      <c r="E87" s="216"/>
      <c r="F87" s="175"/>
      <c r="G87" s="216"/>
      <c r="H87" s="175"/>
      <c r="I87" s="216"/>
      <c r="J87" s="175"/>
      <c r="K87" s="216"/>
      <c r="L87" s="208">
        <f t="shared" si="15"/>
        <v>0</v>
      </c>
      <c r="M87" s="174"/>
      <c r="N87" s="172"/>
      <c r="O87" s="174"/>
      <c r="P87" s="219"/>
      <c r="Q87" s="220"/>
      <c r="R87" s="498"/>
      <c r="S87" s="173">
        <f t="shared" si="16"/>
        <v>0</v>
      </c>
    </row>
    <row r="88" spans="1:19" ht="26.45" customHeight="1" thickBot="1" x14ac:dyDescent="0.25">
      <c r="A88" s="435" t="s">
        <v>126</v>
      </c>
      <c r="B88" s="221">
        <f>B89+B122+B123</f>
        <v>3341534.7</v>
      </c>
      <c r="C88" s="221">
        <f t="shared" ref="C88:K88" si="17">C89+C122+C123</f>
        <v>980953.64999999991</v>
      </c>
      <c r="D88" s="221">
        <f t="shared" si="17"/>
        <v>5783702.5799999991</v>
      </c>
      <c r="E88" s="222">
        <f t="shared" si="17"/>
        <v>4665044.25</v>
      </c>
      <c r="F88" s="221">
        <f t="shared" si="17"/>
        <v>1369566</v>
      </c>
      <c r="G88" s="222">
        <f t="shared" si="17"/>
        <v>2722787.9</v>
      </c>
      <c r="H88" s="221">
        <f t="shared" si="17"/>
        <v>199395</v>
      </c>
      <c r="I88" s="222">
        <f t="shared" si="17"/>
        <v>844101.44</v>
      </c>
      <c r="J88" s="221">
        <f t="shared" si="17"/>
        <v>264609</v>
      </c>
      <c r="K88" s="222">
        <f t="shared" si="17"/>
        <v>0</v>
      </c>
      <c r="L88" s="223">
        <f>SUM(B88:K88)</f>
        <v>20171694.52</v>
      </c>
      <c r="M88" s="222">
        <f t="shared" ref="M88:R88" si="18">M89+M122+M123</f>
        <v>0</v>
      </c>
      <c r="N88" s="221">
        <f t="shared" si="18"/>
        <v>0</v>
      </c>
      <c r="O88" s="222">
        <f t="shared" si="18"/>
        <v>678642.73</v>
      </c>
      <c r="P88" s="221">
        <f t="shared" si="18"/>
        <v>875197</v>
      </c>
      <c r="Q88" s="222">
        <f t="shared" si="18"/>
        <v>973947.19000000006</v>
      </c>
      <c r="R88" s="221">
        <f t="shared" si="18"/>
        <v>0</v>
      </c>
      <c r="S88" s="221">
        <f>L88+SUM(M88:R88)</f>
        <v>22699481.439999998</v>
      </c>
    </row>
    <row r="89" spans="1:19" ht="27" customHeight="1" thickBot="1" x14ac:dyDescent="0.25">
      <c r="A89" s="436" t="s">
        <v>127</v>
      </c>
      <c r="B89" s="224">
        <f>SUM(B90:B121)</f>
        <v>2835078.7</v>
      </c>
      <c r="C89" s="224">
        <f>SUM(C90:C121)</f>
        <v>653474.64999999991</v>
      </c>
      <c r="D89" s="224">
        <f>SUM(D90:D121)</f>
        <v>5297782.5799999991</v>
      </c>
      <c r="E89" s="460">
        <f>SUM(E90:E121)+úpravy!F178</f>
        <v>4083881.25</v>
      </c>
      <c r="F89" s="224">
        <f t="shared" ref="F89:K89" si="19">SUM(F90:F121)</f>
        <v>1298519</v>
      </c>
      <c r="G89" s="460">
        <f t="shared" si="19"/>
        <v>2355507.9</v>
      </c>
      <c r="H89" s="224">
        <f t="shared" si="19"/>
        <v>199395</v>
      </c>
      <c r="I89" s="460">
        <f t="shared" si="19"/>
        <v>829831.44</v>
      </c>
      <c r="J89" s="224">
        <f t="shared" si="19"/>
        <v>232604</v>
      </c>
      <c r="K89" s="460">
        <f t="shared" si="19"/>
        <v>0</v>
      </c>
      <c r="L89" s="226">
        <f>SUM(B89:K89)</f>
        <v>17786074.52</v>
      </c>
      <c r="M89" s="225">
        <f t="shared" ref="M89:R89" si="20">SUM(M90:M121)</f>
        <v>0</v>
      </c>
      <c r="N89" s="415">
        <f t="shared" si="20"/>
        <v>0</v>
      </c>
      <c r="O89" s="225">
        <f t="shared" si="20"/>
        <v>678642.73</v>
      </c>
      <c r="P89" s="415">
        <f t="shared" si="20"/>
        <v>875197</v>
      </c>
      <c r="Q89" s="225">
        <f t="shared" si="20"/>
        <v>973947.19000000006</v>
      </c>
      <c r="R89" s="415">
        <f t="shared" si="20"/>
        <v>0</v>
      </c>
      <c r="S89" s="415">
        <f>L89+SUM(M89:R89)</f>
        <v>20313861.439999998</v>
      </c>
    </row>
    <row r="90" spans="1:19" ht="12" x14ac:dyDescent="0.2">
      <c r="A90" s="437" t="s">
        <v>310</v>
      </c>
      <c r="B90" s="202">
        <f>4105916+úpravy!C161+úpravy!C185+úpravy!C208</f>
        <v>2430061</v>
      </c>
      <c r="C90" s="202">
        <f>1542314+úpravy!D147+úpravy!D208</f>
        <v>440232</v>
      </c>
      <c r="D90" s="202">
        <f>3980753+úpravy!E147+úpravy!E190+úpravy!E208</f>
        <v>2865764</v>
      </c>
      <c r="E90" s="203">
        <f>4918347+úpravy!F208</f>
        <v>4948901</v>
      </c>
      <c r="F90" s="202">
        <f>1118810+úpravy!G208</f>
        <v>1125389</v>
      </c>
      <c r="G90" s="465">
        <f>2209890+úpravy!H165+úpravy!H208</f>
        <v>1922886</v>
      </c>
      <c r="H90" s="202">
        <f>133033+úpravy!H168+úpravy!I208</f>
        <v>199395</v>
      </c>
      <c r="I90" s="203">
        <f>650625+úpravy!J208</f>
        <v>654451</v>
      </c>
      <c r="J90" s="202">
        <f>494134+úpravy!M155+úpravy!M156+úpravy!M208</f>
        <v>167610</v>
      </c>
      <c r="K90" s="203"/>
      <c r="L90" s="204">
        <f>SUM(B90:K90)</f>
        <v>14754689</v>
      </c>
      <c r="M90" s="203"/>
      <c r="N90" s="202"/>
      <c r="O90" s="203">
        <f>1047387+úpravy!O159+úpravy!O208</f>
        <v>605951</v>
      </c>
      <c r="P90" s="389"/>
      <c r="Q90" s="465"/>
      <c r="R90" s="298">
        <f>úpravy!R32+úpravy!R208</f>
        <v>0</v>
      </c>
      <c r="S90" s="298">
        <f>L90+SUM(M90:R90)</f>
        <v>15360640</v>
      </c>
    </row>
    <row r="91" spans="1:19" ht="12" x14ac:dyDescent="0.2">
      <c r="A91" s="171" t="s">
        <v>168</v>
      </c>
      <c r="B91" s="282">
        <v>124824</v>
      </c>
      <c r="C91" s="282">
        <v>65090</v>
      </c>
      <c r="D91" s="282">
        <v>242889</v>
      </c>
      <c r="E91" s="457">
        <v>340661</v>
      </c>
      <c r="F91" s="282">
        <v>62541</v>
      </c>
      <c r="G91" s="457">
        <v>201818</v>
      </c>
      <c r="H91" s="202"/>
      <c r="I91" s="457">
        <v>52802</v>
      </c>
      <c r="J91" s="282">
        <f>8346</f>
        <v>8346</v>
      </c>
      <c r="K91" s="203"/>
      <c r="L91" s="204">
        <f t="shared" si="15"/>
        <v>1098971</v>
      </c>
      <c r="M91" s="203"/>
      <c r="N91" s="202"/>
      <c r="O91" s="203"/>
      <c r="P91" s="202"/>
      <c r="Q91" s="203"/>
      <c r="R91" s="172">
        <f>úpravy!R19</f>
        <v>0</v>
      </c>
      <c r="S91" s="298">
        <f t="shared" ref="S91:S93" si="21">L91+SUM(M91:R91)</f>
        <v>1098971</v>
      </c>
    </row>
    <row r="92" spans="1:19" ht="12" x14ac:dyDescent="0.2">
      <c r="A92" s="171" t="s">
        <v>169</v>
      </c>
      <c r="B92" s="282">
        <v>43937</v>
      </c>
      <c r="C92" s="282">
        <v>22912</v>
      </c>
      <c r="D92" s="282">
        <v>85497</v>
      </c>
      <c r="E92" s="457">
        <v>119912</v>
      </c>
      <c r="F92" s="282">
        <v>22013</v>
      </c>
      <c r="G92" s="457">
        <v>71041</v>
      </c>
      <c r="H92" s="202"/>
      <c r="I92" s="457">
        <v>18588</v>
      </c>
      <c r="J92" s="282">
        <f>2939</f>
        <v>2939</v>
      </c>
      <c r="K92" s="203"/>
      <c r="L92" s="204">
        <f t="shared" si="15"/>
        <v>386839</v>
      </c>
      <c r="M92" s="203"/>
      <c r="N92" s="202"/>
      <c r="O92" s="203"/>
      <c r="P92" s="202"/>
      <c r="Q92" s="203"/>
      <c r="R92" s="172">
        <f>úpravy!R20</f>
        <v>0</v>
      </c>
      <c r="S92" s="298">
        <f t="shared" si="21"/>
        <v>386839</v>
      </c>
    </row>
    <row r="93" spans="1:19" ht="12" x14ac:dyDescent="0.2">
      <c r="A93" s="171" t="s">
        <v>170</v>
      </c>
      <c r="B93" s="455">
        <v>233600</v>
      </c>
      <c r="C93" s="455">
        <v>70522</v>
      </c>
      <c r="D93" s="455">
        <v>163365</v>
      </c>
      <c r="E93" s="457">
        <v>253684</v>
      </c>
      <c r="F93" s="455">
        <v>65856</v>
      </c>
      <c r="G93" s="457">
        <v>122132</v>
      </c>
      <c r="H93" s="202"/>
      <c r="I93" s="471">
        <v>56589</v>
      </c>
      <c r="J93" s="455">
        <f>24286+úpravy!M154</f>
        <v>0</v>
      </c>
      <c r="K93" s="203"/>
      <c r="L93" s="204">
        <f t="shared" si="15"/>
        <v>965748</v>
      </c>
      <c r="M93" s="203"/>
      <c r="N93" s="202"/>
      <c r="O93" s="203"/>
      <c r="P93" s="202"/>
      <c r="Q93" s="203"/>
      <c r="R93" s="172">
        <f>úpravy!R21</f>
        <v>0</v>
      </c>
      <c r="S93" s="298">
        <f t="shared" si="21"/>
        <v>965748</v>
      </c>
    </row>
    <row r="94" spans="1:19" ht="12" x14ac:dyDescent="0.2">
      <c r="A94" s="171" t="s">
        <v>248</v>
      </c>
      <c r="B94" s="202">
        <v>25000</v>
      </c>
      <c r="C94" s="390"/>
      <c r="D94" s="202"/>
      <c r="E94" s="203"/>
      <c r="F94" s="202"/>
      <c r="G94" s="203"/>
      <c r="H94" s="202"/>
      <c r="I94" s="203"/>
      <c r="J94" s="202"/>
      <c r="K94" s="203"/>
      <c r="L94" s="204">
        <f t="shared" si="15"/>
        <v>25000</v>
      </c>
      <c r="M94" s="203"/>
      <c r="N94" s="202"/>
      <c r="O94" s="200"/>
      <c r="P94" s="199"/>
      <c r="Q94" s="203"/>
      <c r="R94" s="172"/>
      <c r="S94" s="416">
        <f>L94+SUM(M94:R94)</f>
        <v>25000</v>
      </c>
    </row>
    <row r="95" spans="1:19" ht="12" x14ac:dyDescent="0.2">
      <c r="A95" s="171" t="s">
        <v>171</v>
      </c>
      <c r="B95" s="202"/>
      <c r="C95" s="391"/>
      <c r="D95" s="78">
        <v>1715500</v>
      </c>
      <c r="E95" s="461">
        <f>232928+44434</f>
        <v>277362</v>
      </c>
      <c r="F95" s="202"/>
      <c r="G95" s="203"/>
      <c r="H95" s="202"/>
      <c r="I95" s="203"/>
      <c r="J95" s="202">
        <v>48242</v>
      </c>
      <c r="K95" s="203"/>
      <c r="L95" s="204">
        <f t="shared" si="15"/>
        <v>2041104</v>
      </c>
      <c r="M95" s="203"/>
      <c r="N95" s="202"/>
      <c r="O95" s="200"/>
      <c r="P95" s="199"/>
      <c r="Q95" s="203"/>
      <c r="R95" s="172"/>
      <c r="S95" s="416">
        <f>L95+SUM(M95:R95)</f>
        <v>2041104</v>
      </c>
    </row>
    <row r="96" spans="1:19" ht="12" x14ac:dyDescent="0.2">
      <c r="A96" s="438" t="s">
        <v>128</v>
      </c>
      <c r="B96" s="202"/>
      <c r="C96" s="202"/>
      <c r="D96" s="202"/>
      <c r="E96" s="203"/>
      <c r="F96" s="202"/>
      <c r="G96" s="203"/>
      <c r="H96" s="202"/>
      <c r="I96" s="203"/>
      <c r="J96" s="202"/>
      <c r="K96" s="203"/>
      <c r="L96" s="204">
        <f t="shared" si="15"/>
        <v>0</v>
      </c>
      <c r="M96" s="203"/>
      <c r="N96" s="202"/>
      <c r="O96" s="200"/>
      <c r="P96" s="392">
        <f>úpravy!P146</f>
        <v>14000</v>
      </c>
      <c r="Q96" s="203"/>
      <c r="R96" s="172"/>
      <c r="S96" s="416">
        <f>L96+SUM(M96:R96)</f>
        <v>14000</v>
      </c>
    </row>
    <row r="97" spans="1:19" ht="12" x14ac:dyDescent="0.2">
      <c r="A97" s="439" t="s">
        <v>201</v>
      </c>
      <c r="B97" s="202"/>
      <c r="C97" s="393"/>
      <c r="D97" s="202"/>
      <c r="E97" s="203"/>
      <c r="F97" s="202"/>
      <c r="G97" s="203"/>
      <c r="H97" s="202"/>
      <c r="I97" s="203"/>
      <c r="J97" s="202"/>
      <c r="K97" s="203"/>
      <c r="L97" s="201">
        <f t="shared" si="15"/>
        <v>0</v>
      </c>
      <c r="M97" s="203"/>
      <c r="N97" s="202"/>
      <c r="O97" s="200"/>
      <c r="P97" s="199">
        <f>40000+úpravy!P105</f>
        <v>0</v>
      </c>
      <c r="Q97" s="203"/>
      <c r="R97" s="172"/>
      <c r="S97" s="416">
        <f t="shared" ref="S97:S118" si="22">L97+M97+N97+O97+P97+Q97+R97</f>
        <v>0</v>
      </c>
    </row>
    <row r="98" spans="1:19" ht="12" x14ac:dyDescent="0.2">
      <c r="A98" s="440" t="s">
        <v>129</v>
      </c>
      <c r="B98" s="202"/>
      <c r="C98" s="199"/>
      <c r="D98" s="202"/>
      <c r="E98" s="203"/>
      <c r="F98" s="202"/>
      <c r="G98" s="203"/>
      <c r="H98" s="202"/>
      <c r="I98" s="203"/>
      <c r="J98" s="202"/>
      <c r="K98" s="203"/>
      <c r="L98" s="201">
        <f t="shared" si="15"/>
        <v>0</v>
      </c>
      <c r="M98" s="203"/>
      <c r="N98" s="202"/>
      <c r="O98" s="203"/>
      <c r="P98" s="202">
        <v>134042</v>
      </c>
      <c r="Q98" s="395"/>
      <c r="R98" s="172"/>
      <c r="S98" s="416">
        <f t="shared" si="22"/>
        <v>134042</v>
      </c>
    </row>
    <row r="99" spans="1:19" ht="12" x14ac:dyDescent="0.2">
      <c r="A99" s="440" t="s">
        <v>130</v>
      </c>
      <c r="B99" s="202"/>
      <c r="C99" s="199"/>
      <c r="D99" s="202"/>
      <c r="E99" s="203"/>
      <c r="F99" s="202"/>
      <c r="G99" s="203"/>
      <c r="H99" s="202"/>
      <c r="I99" s="203"/>
      <c r="J99" s="202"/>
      <c r="K99" s="203"/>
      <c r="L99" s="201">
        <f t="shared" si="15"/>
        <v>0</v>
      </c>
      <c r="M99" s="203"/>
      <c r="N99" s="202"/>
      <c r="O99" s="203"/>
      <c r="P99" s="202">
        <v>119900</v>
      </c>
      <c r="Q99" s="491"/>
      <c r="R99" s="172"/>
      <c r="S99" s="416">
        <f t="shared" si="22"/>
        <v>119900</v>
      </c>
    </row>
    <row r="100" spans="1:19" ht="12" x14ac:dyDescent="0.2">
      <c r="A100" s="440" t="s">
        <v>131</v>
      </c>
      <c r="B100" s="199"/>
      <c r="C100" s="199"/>
      <c r="D100" s="202"/>
      <c r="E100" s="203"/>
      <c r="F100" s="202"/>
      <c r="G100" s="203"/>
      <c r="H100" s="202"/>
      <c r="I100" s="203"/>
      <c r="J100" s="202"/>
      <c r="K100" s="203"/>
      <c r="L100" s="201">
        <f t="shared" si="15"/>
        <v>0</v>
      </c>
      <c r="M100" s="203"/>
      <c r="N100" s="202"/>
      <c r="O100" s="203"/>
      <c r="P100" s="227">
        <v>25000</v>
      </c>
      <c r="Q100" s="200"/>
      <c r="R100" s="172"/>
      <c r="S100" s="416">
        <f t="shared" si="22"/>
        <v>25000</v>
      </c>
    </row>
    <row r="101" spans="1:19" ht="12" x14ac:dyDescent="0.2">
      <c r="A101" s="440" t="s">
        <v>132</v>
      </c>
      <c r="B101" s="202"/>
      <c r="C101" s="199"/>
      <c r="D101" s="202"/>
      <c r="E101" s="203"/>
      <c r="F101" s="202"/>
      <c r="G101" s="203"/>
      <c r="H101" s="202"/>
      <c r="I101" s="203"/>
      <c r="J101" s="202"/>
      <c r="K101" s="203"/>
      <c r="L101" s="201">
        <f t="shared" si="15"/>
        <v>0</v>
      </c>
      <c r="M101" s="203"/>
      <c r="N101" s="202"/>
      <c r="O101" s="203"/>
      <c r="P101" s="227">
        <v>202496</v>
      </c>
      <c r="Q101" s="203"/>
      <c r="R101" s="172"/>
      <c r="S101" s="416">
        <f t="shared" si="22"/>
        <v>202496</v>
      </c>
    </row>
    <row r="102" spans="1:19" ht="12" x14ac:dyDescent="0.2">
      <c r="A102" s="440" t="s">
        <v>133</v>
      </c>
      <c r="B102" s="228"/>
      <c r="C102" s="228"/>
      <c r="D102" s="228"/>
      <c r="E102" s="394"/>
      <c r="F102" s="228"/>
      <c r="G102" s="394"/>
      <c r="H102" s="228"/>
      <c r="I102" s="394"/>
      <c r="J102" s="228"/>
      <c r="K102" s="394"/>
      <c r="L102" s="201">
        <f t="shared" si="15"/>
        <v>0</v>
      </c>
      <c r="M102" s="203"/>
      <c r="N102" s="202"/>
      <c r="O102" s="203"/>
      <c r="P102" s="227">
        <v>15900</v>
      </c>
      <c r="Q102" s="395"/>
      <c r="R102" s="172"/>
      <c r="S102" s="416">
        <f t="shared" si="22"/>
        <v>15900</v>
      </c>
    </row>
    <row r="103" spans="1:19" ht="12" x14ac:dyDescent="0.2">
      <c r="A103" s="388" t="s">
        <v>208</v>
      </c>
      <c r="B103" s="227"/>
      <c r="C103" s="228"/>
      <c r="D103" s="227"/>
      <c r="E103" s="395"/>
      <c r="F103" s="227"/>
      <c r="G103" s="395"/>
      <c r="H103" s="227"/>
      <c r="I103" s="395"/>
      <c r="J103" s="227"/>
      <c r="K103" s="395"/>
      <c r="L103" s="201">
        <f t="shared" si="15"/>
        <v>0</v>
      </c>
      <c r="M103" s="203"/>
      <c r="N103" s="202"/>
      <c r="O103" s="203"/>
      <c r="P103" s="227">
        <v>141120</v>
      </c>
      <c r="Q103" s="395"/>
      <c r="R103" s="172"/>
      <c r="S103" s="416">
        <f t="shared" si="22"/>
        <v>141120</v>
      </c>
    </row>
    <row r="104" spans="1:19" ht="12" x14ac:dyDescent="0.2">
      <c r="A104" s="171" t="s">
        <v>311</v>
      </c>
      <c r="B104" s="227">
        <f>úpravy!C37+úpravy!C199</f>
        <v>1869.06</v>
      </c>
      <c r="C104" s="228">
        <f>úpravy!D37</f>
        <v>1167.2</v>
      </c>
      <c r="D104" s="227">
        <f>úpravy!E37+úpravy!E199</f>
        <v>4731.43</v>
      </c>
      <c r="E104" s="395">
        <f>úpravy!F37+úpravy!F199</f>
        <v>4941.17</v>
      </c>
      <c r="F104" s="227"/>
      <c r="G104" s="395">
        <f>úpravy!H37+úpravy!H199</f>
        <v>3790.6</v>
      </c>
      <c r="H104" s="227"/>
      <c r="I104" s="395">
        <f>úpravy!J37+úpravy!J199</f>
        <v>354.19</v>
      </c>
      <c r="J104" s="227"/>
      <c r="K104" s="395"/>
      <c r="L104" s="201">
        <f t="shared" si="15"/>
        <v>16853.649999999998</v>
      </c>
      <c r="M104" s="203"/>
      <c r="N104" s="202"/>
      <c r="O104" s="203">
        <f>úpravy!O37</f>
        <v>1555.6</v>
      </c>
      <c r="P104" s="227"/>
      <c r="Q104" s="395"/>
      <c r="R104" s="172">
        <f>úpravy!R196+úpravy!R199</f>
        <v>0</v>
      </c>
      <c r="S104" s="416">
        <f t="shared" si="22"/>
        <v>18409.249999999996</v>
      </c>
    </row>
    <row r="105" spans="1:19" ht="20.25" customHeight="1" x14ac:dyDescent="0.2">
      <c r="A105" s="440" t="s">
        <v>256</v>
      </c>
      <c r="B105" s="227"/>
      <c r="C105" s="228"/>
      <c r="D105" s="227">
        <f>úpravy!E27</f>
        <v>70000</v>
      </c>
      <c r="E105" s="395"/>
      <c r="F105" s="227"/>
      <c r="G105" s="395"/>
      <c r="H105" s="227"/>
      <c r="I105" s="395"/>
      <c r="J105" s="227"/>
      <c r="K105" s="395"/>
      <c r="L105" s="201">
        <f t="shared" si="15"/>
        <v>70000</v>
      </c>
      <c r="M105" s="203"/>
      <c r="N105" s="202"/>
      <c r="O105" s="203"/>
      <c r="P105" s="227"/>
      <c r="Q105" s="395"/>
      <c r="R105" s="172"/>
      <c r="S105" s="416">
        <f t="shared" si="22"/>
        <v>70000</v>
      </c>
    </row>
    <row r="106" spans="1:19" ht="28.15" customHeight="1" x14ac:dyDescent="0.2">
      <c r="A106" s="440" t="s">
        <v>136</v>
      </c>
      <c r="B106" s="227"/>
      <c r="C106" s="227"/>
      <c r="D106" s="227"/>
      <c r="E106" s="395"/>
      <c r="F106" s="227"/>
      <c r="G106" s="395"/>
      <c r="H106" s="227"/>
      <c r="I106" s="395"/>
      <c r="J106" s="227"/>
      <c r="K106" s="395"/>
      <c r="L106" s="201">
        <f t="shared" si="15"/>
        <v>0</v>
      </c>
      <c r="M106" s="203"/>
      <c r="N106" s="202"/>
      <c r="O106" s="203"/>
      <c r="P106" s="227">
        <v>34142</v>
      </c>
      <c r="Q106" s="395"/>
      <c r="R106" s="172"/>
      <c r="S106" s="416">
        <f t="shared" si="22"/>
        <v>34142</v>
      </c>
    </row>
    <row r="107" spans="1:19" ht="20.25" customHeight="1" x14ac:dyDescent="0.2">
      <c r="A107" s="388" t="s">
        <v>135</v>
      </c>
      <c r="B107" s="227"/>
      <c r="C107" s="227"/>
      <c r="D107" s="227"/>
      <c r="E107" s="395"/>
      <c r="F107" s="227"/>
      <c r="G107" s="395"/>
      <c r="H107" s="227"/>
      <c r="I107" s="395"/>
      <c r="J107" s="227"/>
      <c r="K107" s="395"/>
      <c r="L107" s="201">
        <f t="shared" si="15"/>
        <v>0</v>
      </c>
      <c r="M107" s="203"/>
      <c r="N107" s="202"/>
      <c r="O107" s="203"/>
      <c r="P107" s="227">
        <v>10000</v>
      </c>
      <c r="Q107" s="395"/>
      <c r="R107" s="172"/>
      <c r="S107" s="416">
        <f t="shared" si="22"/>
        <v>10000</v>
      </c>
    </row>
    <row r="108" spans="1:19" ht="20.25" customHeight="1" x14ac:dyDescent="0.2">
      <c r="A108" s="388" t="s">
        <v>283</v>
      </c>
      <c r="B108" s="227"/>
      <c r="C108" s="227"/>
      <c r="D108" s="227"/>
      <c r="E108" s="395"/>
      <c r="F108" s="227"/>
      <c r="G108" s="395"/>
      <c r="H108" s="227"/>
      <c r="I108" s="395"/>
      <c r="J108" s="227"/>
      <c r="K108" s="395"/>
      <c r="L108" s="201">
        <f t="shared" si="15"/>
        <v>0</v>
      </c>
      <c r="M108" s="203"/>
      <c r="N108" s="202"/>
      <c r="O108" s="203"/>
      <c r="P108" s="204">
        <v>10000</v>
      </c>
      <c r="Q108" s="395"/>
      <c r="R108" s="172"/>
      <c r="S108" s="416">
        <f t="shared" si="22"/>
        <v>10000</v>
      </c>
    </row>
    <row r="109" spans="1:19" ht="12" x14ac:dyDescent="0.2">
      <c r="A109" s="440" t="s">
        <v>137</v>
      </c>
      <c r="B109" s="227"/>
      <c r="C109" s="202"/>
      <c r="D109" s="227"/>
      <c r="E109" s="395"/>
      <c r="F109" s="227"/>
      <c r="G109" s="395"/>
      <c r="H109" s="227"/>
      <c r="I109" s="395"/>
      <c r="J109" s="227"/>
      <c r="K109" s="395"/>
      <c r="L109" s="201">
        <f t="shared" si="15"/>
        <v>0</v>
      </c>
      <c r="M109" s="203"/>
      <c r="N109" s="202"/>
      <c r="O109" s="203"/>
      <c r="P109" s="227">
        <f>76200+úpravy!P143</f>
        <v>0</v>
      </c>
      <c r="Q109" s="395"/>
      <c r="R109" s="172"/>
      <c r="S109" s="416">
        <f t="shared" si="22"/>
        <v>0</v>
      </c>
    </row>
    <row r="110" spans="1:19" ht="12" x14ac:dyDescent="0.2">
      <c r="A110" s="441" t="s">
        <v>138</v>
      </c>
      <c r="B110" s="227"/>
      <c r="C110" s="202"/>
      <c r="D110" s="227"/>
      <c r="E110" s="395"/>
      <c r="F110" s="227"/>
      <c r="G110" s="395"/>
      <c r="H110" s="227"/>
      <c r="I110" s="395"/>
      <c r="J110" s="227"/>
      <c r="K110" s="395"/>
      <c r="L110" s="201">
        <f t="shared" si="15"/>
        <v>0</v>
      </c>
      <c r="M110" s="203"/>
      <c r="N110" s="202"/>
      <c r="O110" s="203"/>
      <c r="P110" s="227">
        <v>155000</v>
      </c>
      <c r="Q110" s="395"/>
      <c r="R110" s="172"/>
      <c r="S110" s="416">
        <f t="shared" si="22"/>
        <v>155000</v>
      </c>
    </row>
    <row r="111" spans="1:19" ht="24.75" customHeight="1" x14ac:dyDescent="0.2">
      <c r="A111" s="214" t="s">
        <v>237</v>
      </c>
      <c r="B111" s="202"/>
      <c r="C111" s="202">
        <f>úpravy!D91+úpravy!D92</f>
        <v>3037.45</v>
      </c>
      <c r="D111" s="202">
        <f>úpravy!E91+úpravy!E92</f>
        <v>2370</v>
      </c>
      <c r="E111" s="203">
        <f>úpravy!F91+úpravy!F92</f>
        <v>948</v>
      </c>
      <c r="F111" s="202"/>
      <c r="G111" s="203">
        <f>úpravy!H91+úpravy!H92</f>
        <v>3358.3</v>
      </c>
      <c r="H111" s="202"/>
      <c r="I111" s="203">
        <f>úpravy!J91+úpravy!J92</f>
        <v>744.25</v>
      </c>
      <c r="J111" s="202"/>
      <c r="K111" s="203"/>
      <c r="L111" s="204">
        <f t="shared" si="15"/>
        <v>10458</v>
      </c>
      <c r="M111" s="203"/>
      <c r="N111" s="202"/>
      <c r="O111" s="203">
        <f>úpravy!O91</f>
        <v>145145</v>
      </c>
      <c r="P111" s="204">
        <f>169200+úpravy!P91+úpravy!P92</f>
        <v>13597</v>
      </c>
      <c r="Q111" s="395"/>
      <c r="R111" s="172"/>
      <c r="S111" s="416">
        <f t="shared" si="22"/>
        <v>169200</v>
      </c>
    </row>
    <row r="112" spans="1:19" ht="12" x14ac:dyDescent="0.2">
      <c r="A112" s="440" t="s">
        <v>139</v>
      </c>
      <c r="B112" s="202"/>
      <c r="C112" s="202"/>
      <c r="D112" s="202"/>
      <c r="E112" s="203"/>
      <c r="F112" s="202"/>
      <c r="G112" s="203"/>
      <c r="H112" s="202"/>
      <c r="I112" s="203"/>
      <c r="J112" s="202"/>
      <c r="K112" s="203"/>
      <c r="L112" s="204">
        <f t="shared" si="15"/>
        <v>0</v>
      </c>
      <c r="M112" s="203"/>
      <c r="N112" s="202"/>
      <c r="O112" s="203"/>
      <c r="P112" s="228"/>
      <c r="Q112" s="492">
        <v>6760</v>
      </c>
      <c r="R112" s="172"/>
      <c r="S112" s="416">
        <f t="shared" si="22"/>
        <v>6760</v>
      </c>
    </row>
    <row r="113" spans="1:19" ht="12" x14ac:dyDescent="0.2">
      <c r="A113" s="440" t="s">
        <v>140</v>
      </c>
      <c r="B113" s="202"/>
      <c r="C113" s="202"/>
      <c r="D113" s="202"/>
      <c r="E113" s="203"/>
      <c r="F113" s="202"/>
      <c r="G113" s="203"/>
      <c r="H113" s="202"/>
      <c r="I113" s="203"/>
      <c r="J113" s="202"/>
      <c r="K113" s="203"/>
      <c r="L113" s="204">
        <f t="shared" si="15"/>
        <v>0</v>
      </c>
      <c r="M113" s="200"/>
      <c r="N113" s="199"/>
      <c r="O113" s="200"/>
      <c r="P113" s="228"/>
      <c r="Q113" s="492">
        <v>13520</v>
      </c>
      <c r="R113" s="172"/>
      <c r="S113" s="416">
        <f t="shared" si="22"/>
        <v>13520</v>
      </c>
    </row>
    <row r="114" spans="1:19" ht="12" x14ac:dyDescent="0.2">
      <c r="A114" s="396" t="s">
        <v>202</v>
      </c>
      <c r="B114" s="202"/>
      <c r="C114" s="202"/>
      <c r="D114" s="202"/>
      <c r="E114" s="203"/>
      <c r="F114" s="202"/>
      <c r="G114" s="203"/>
      <c r="H114" s="202"/>
      <c r="I114" s="203"/>
      <c r="J114" s="202"/>
      <c r="K114" s="203"/>
      <c r="L114" s="204">
        <f t="shared" si="15"/>
        <v>0</v>
      </c>
      <c r="M114" s="200"/>
      <c r="N114" s="199"/>
      <c r="O114" s="200"/>
      <c r="P114" s="227"/>
      <c r="Q114" s="492">
        <v>40000</v>
      </c>
      <c r="R114" s="172"/>
      <c r="S114" s="416">
        <f>L114+Q114</f>
        <v>40000</v>
      </c>
    </row>
    <row r="115" spans="1:19" s="170" customFormat="1" ht="12" x14ac:dyDescent="0.2">
      <c r="A115" s="388" t="s">
        <v>203</v>
      </c>
      <c r="B115" s="202">
        <f>úpravy!C188+úpravy!C189</f>
        <v>21845</v>
      </c>
      <c r="C115" s="202">
        <f>úpravy!D188+úpravy!D189</f>
        <v>14000</v>
      </c>
      <c r="D115" s="202">
        <f>úpravy!E188+úpravy!E189</f>
        <v>24650</v>
      </c>
      <c r="E115" s="203">
        <f>úpravy!F188+úpravy!F189</f>
        <v>54488</v>
      </c>
      <c r="F115" s="202">
        <f>úpravy!G188+úpravy!G189</f>
        <v>11000</v>
      </c>
      <c r="G115" s="203">
        <f>úpravy!H188+úpravy!H189</f>
        <v>13000</v>
      </c>
      <c r="H115" s="202"/>
      <c r="I115" s="203">
        <f>úpravy!J188+úpravy!J189</f>
        <v>12000</v>
      </c>
      <c r="J115" s="202">
        <f>úpravy!M188</f>
        <v>2000</v>
      </c>
      <c r="K115" s="203"/>
      <c r="L115" s="204">
        <f t="shared" si="15"/>
        <v>152983</v>
      </c>
      <c r="M115" s="200"/>
      <c r="N115" s="199"/>
      <c r="O115" s="200"/>
      <c r="P115" s="227"/>
      <c r="Q115" s="492">
        <f>155000+úpravy!Q188+úpravy!Q189</f>
        <v>2017</v>
      </c>
      <c r="R115" s="172"/>
      <c r="S115" s="416">
        <f t="shared" si="22"/>
        <v>155000</v>
      </c>
    </row>
    <row r="116" spans="1:19" ht="12" x14ac:dyDescent="0.2">
      <c r="A116" s="388" t="s">
        <v>134</v>
      </c>
      <c r="B116" s="202"/>
      <c r="C116" s="202"/>
      <c r="D116" s="202"/>
      <c r="E116" s="203"/>
      <c r="F116" s="202"/>
      <c r="G116" s="203"/>
      <c r="H116" s="202"/>
      <c r="I116" s="203"/>
      <c r="J116" s="202"/>
      <c r="K116" s="203"/>
      <c r="L116" s="204">
        <f t="shared" si="15"/>
        <v>0</v>
      </c>
      <c r="M116" s="200"/>
      <c r="N116" s="199"/>
      <c r="O116" s="200"/>
      <c r="P116" s="227"/>
      <c r="Q116" s="492">
        <v>10000</v>
      </c>
      <c r="R116" s="172"/>
      <c r="S116" s="416">
        <f t="shared" si="22"/>
        <v>10000</v>
      </c>
    </row>
    <row r="117" spans="1:19" ht="12" x14ac:dyDescent="0.2">
      <c r="A117" s="442" t="s">
        <v>204</v>
      </c>
      <c r="B117" s="199">
        <f>úpravy!C116</f>
        <v>13509</v>
      </c>
      <c r="C117" s="199">
        <f>úpravy!D116</f>
        <v>11484</v>
      </c>
      <c r="D117" s="199"/>
      <c r="E117" s="200">
        <f>úpravy!F116</f>
        <v>22807.62</v>
      </c>
      <c r="F117" s="199"/>
      <c r="G117" s="200">
        <f>úpravy!H116</f>
        <v>13482</v>
      </c>
      <c r="H117" s="199"/>
      <c r="I117" s="200">
        <f>úpravy!J116</f>
        <v>26991</v>
      </c>
      <c r="J117" s="199">
        <f>úpravy!M116</f>
        <v>3467</v>
      </c>
      <c r="K117" s="200"/>
      <c r="L117" s="204">
        <f t="shared" si="15"/>
        <v>91740.62</v>
      </c>
      <c r="M117" s="200"/>
      <c r="N117" s="199"/>
      <c r="O117" s="200"/>
      <c r="P117" s="227"/>
      <c r="Q117" s="493">
        <f>171240+úpravy!Q116</f>
        <v>79499.38</v>
      </c>
      <c r="R117" s="172"/>
      <c r="S117" s="416">
        <f>L117+SUM(M117:R117)</f>
        <v>171240</v>
      </c>
    </row>
    <row r="118" spans="1:19" s="170" customFormat="1" ht="12" x14ac:dyDescent="0.2">
      <c r="A118" s="388" t="s">
        <v>205</v>
      </c>
      <c r="B118" s="199"/>
      <c r="C118" s="199"/>
      <c r="D118" s="199"/>
      <c r="E118" s="200"/>
      <c r="F118" s="199"/>
      <c r="G118" s="200"/>
      <c r="H118" s="199"/>
      <c r="I118" s="200"/>
      <c r="J118" s="199"/>
      <c r="K118" s="200"/>
      <c r="L118" s="204">
        <f t="shared" si="15"/>
        <v>0</v>
      </c>
      <c r="M118" s="200"/>
      <c r="N118" s="199"/>
      <c r="O118" s="200"/>
      <c r="P118" s="228"/>
      <c r="Q118" s="492">
        <v>119000</v>
      </c>
      <c r="R118" s="172"/>
      <c r="S118" s="416">
        <f t="shared" si="22"/>
        <v>119000</v>
      </c>
    </row>
    <row r="119" spans="1:19" ht="12" x14ac:dyDescent="0.2">
      <c r="A119" s="388" t="s">
        <v>206</v>
      </c>
      <c r="B119" s="202"/>
      <c r="C119" s="202"/>
      <c r="D119" s="202"/>
      <c r="E119" s="203"/>
      <c r="F119" s="202"/>
      <c r="G119" s="203"/>
      <c r="H119" s="202"/>
      <c r="I119" s="203"/>
      <c r="J119" s="202"/>
      <c r="K119" s="203"/>
      <c r="L119" s="201">
        <f t="shared" si="15"/>
        <v>0</v>
      </c>
      <c r="M119" s="203"/>
      <c r="N119" s="202"/>
      <c r="O119" s="203"/>
      <c r="P119" s="397"/>
      <c r="Q119" s="493">
        <v>46080</v>
      </c>
      <c r="R119" s="172"/>
      <c r="S119" s="416">
        <f>Q119</f>
        <v>46080</v>
      </c>
    </row>
    <row r="120" spans="1:19" ht="12" x14ac:dyDescent="0.2">
      <c r="A120" s="388" t="s">
        <v>207</v>
      </c>
      <c r="B120" s="202">
        <f>úpravy!C174</f>
        <v>-91499.36</v>
      </c>
      <c r="C120" s="202"/>
      <c r="D120" s="202">
        <f>úpravy!E174</f>
        <v>-198805.28</v>
      </c>
      <c r="E120" s="203">
        <f>úpravy!F174</f>
        <v>-108778.54</v>
      </c>
      <c r="F120" s="202"/>
      <c r="G120" s="203"/>
      <c r="H120" s="202"/>
      <c r="I120" s="203"/>
      <c r="J120" s="202"/>
      <c r="K120" s="203"/>
      <c r="L120" s="201">
        <f>SUM(B120:K120)</f>
        <v>-399083.18</v>
      </c>
      <c r="M120" s="203"/>
      <c r="N120" s="202"/>
      <c r="O120" s="203">
        <f>úpravy!O174</f>
        <v>-74008.87</v>
      </c>
      <c r="P120" s="228"/>
      <c r="Q120" s="493">
        <f>178900+úpravy!Q174+úpravy!Q177</f>
        <v>657070.81000000006</v>
      </c>
      <c r="R120" s="172"/>
      <c r="S120" s="298">
        <f>L120+SUM(M120:R120)</f>
        <v>183978.76000000007</v>
      </c>
    </row>
    <row r="121" spans="1:19" ht="12.75" thickBot="1" x14ac:dyDescent="0.25">
      <c r="A121" s="171" t="s">
        <v>313</v>
      </c>
      <c r="B121" s="398">
        <f>úpravy!C24+úpravy!C205</f>
        <v>31933</v>
      </c>
      <c r="C121" s="398">
        <f>úpravy!D24</f>
        <v>25030</v>
      </c>
      <c r="D121" s="398">
        <f>úpravy!E24+úpravy!E205</f>
        <v>321821.43</v>
      </c>
      <c r="E121" s="399">
        <f>úpravy!F24</f>
        <v>27705</v>
      </c>
      <c r="F121" s="398">
        <f>úpravy!G24</f>
        <v>11720</v>
      </c>
      <c r="G121" s="466">
        <f>úpravy!H24</f>
        <v>4000</v>
      </c>
      <c r="H121" s="398"/>
      <c r="I121" s="399">
        <f>úpravy!J24</f>
        <v>7312</v>
      </c>
      <c r="J121" s="398"/>
      <c r="K121" s="399"/>
      <c r="L121" s="400">
        <f>SUM(B121:K121)</f>
        <v>429521.43</v>
      </c>
      <c r="M121" s="399"/>
      <c r="N121" s="398"/>
      <c r="O121" s="399"/>
      <c r="P121" s="401">
        <f>úpravy!P24</f>
        <v>0</v>
      </c>
      <c r="Q121" s="466"/>
      <c r="R121" s="193">
        <f>úpravy!R202+úpravy!R205</f>
        <v>0</v>
      </c>
      <c r="S121" s="300">
        <f>L121+M121+N121+O121+P121+Q121+R121</f>
        <v>429521.43</v>
      </c>
    </row>
    <row r="122" spans="1:19" ht="12.75" thickBot="1" x14ac:dyDescent="0.25">
      <c r="A122" s="443" t="s">
        <v>141</v>
      </c>
      <c r="B122" s="229">
        <f>úpravy!C19</f>
        <v>464426</v>
      </c>
      <c r="C122" s="229">
        <f>úpravy!D19</f>
        <v>103243</v>
      </c>
      <c r="D122" s="229">
        <f>úpravy!E19</f>
        <v>400835</v>
      </c>
      <c r="E122" s="231">
        <f>úpravy!F19</f>
        <v>577714</v>
      </c>
      <c r="F122" s="229">
        <f>úpravy!G19+úpravy!G21</f>
        <v>19158</v>
      </c>
      <c r="G122" s="231">
        <f>úpravy!H19</f>
        <v>222338</v>
      </c>
      <c r="H122" s="229"/>
      <c r="I122" s="231">
        <f>úpravy!J19</f>
        <v>0</v>
      </c>
      <c r="J122" s="229">
        <f>úpravy!M19</f>
        <v>4186</v>
      </c>
      <c r="K122" s="231"/>
      <c r="L122" s="230">
        <f t="shared" si="15"/>
        <v>1791900</v>
      </c>
      <c r="M122" s="231"/>
      <c r="N122" s="229"/>
      <c r="O122" s="231"/>
      <c r="P122" s="230"/>
      <c r="Q122" s="231"/>
      <c r="R122" s="229"/>
      <c r="S122" s="229">
        <f>L122+M122+N122+O122+P122+Q122+R122</f>
        <v>1791900</v>
      </c>
    </row>
    <row r="123" spans="1:19" ht="12.75" thickBot="1" x14ac:dyDescent="0.25">
      <c r="A123" s="444" t="s">
        <v>142</v>
      </c>
      <c r="B123" s="232">
        <f>úpravy!C20</f>
        <v>42030</v>
      </c>
      <c r="C123" s="232">
        <f>úpravy!D20</f>
        <v>224236</v>
      </c>
      <c r="D123" s="232">
        <f>úpravy!E20</f>
        <v>85085</v>
      </c>
      <c r="E123" s="462">
        <f>úpravy!F20</f>
        <v>3449</v>
      </c>
      <c r="F123" s="232">
        <f>úpravy!G20</f>
        <v>51889</v>
      </c>
      <c r="G123" s="462">
        <f>úpravy!H20</f>
        <v>144942</v>
      </c>
      <c r="H123" s="232"/>
      <c r="I123" s="462">
        <f>úpravy!J20</f>
        <v>14270</v>
      </c>
      <c r="J123" s="229">
        <f>úpravy!M20</f>
        <v>27819</v>
      </c>
      <c r="K123" s="462"/>
      <c r="L123" s="233">
        <f t="shared" si="15"/>
        <v>593720</v>
      </c>
      <c r="M123" s="235"/>
      <c r="N123" s="234"/>
      <c r="O123" s="235"/>
      <c r="P123" s="236"/>
      <c r="Q123" s="235"/>
      <c r="R123" s="234"/>
      <c r="S123" s="232">
        <f>L123+M123+N123+O123+P123+Q123+R123</f>
        <v>593720</v>
      </c>
    </row>
    <row r="124" spans="1:19" s="168" customFormat="1" ht="21.6" customHeight="1" thickBot="1" x14ac:dyDescent="0.25">
      <c r="A124" s="435" t="s">
        <v>143</v>
      </c>
      <c r="B124" s="221"/>
      <c r="C124" s="221"/>
      <c r="D124" s="221">
        <f>úpravy!E171</f>
        <v>104050</v>
      </c>
      <c r="E124" s="222"/>
      <c r="F124" s="221"/>
      <c r="G124" s="222"/>
      <c r="H124" s="221"/>
      <c r="I124" s="222"/>
      <c r="J124" s="221"/>
      <c r="K124" s="222"/>
      <c r="L124" s="223">
        <f t="shared" si="15"/>
        <v>104050</v>
      </c>
      <c r="M124" s="222"/>
      <c r="N124" s="221"/>
      <c r="O124" s="222">
        <f>úpravy!O26+úpravy!O171</f>
        <v>195669</v>
      </c>
      <c r="P124" s="221"/>
      <c r="Q124" s="222"/>
      <c r="R124" s="221">
        <v>0</v>
      </c>
      <c r="S124" s="238">
        <f>L124+M124+N124+O124+P124+Q124+R124</f>
        <v>299719</v>
      </c>
    </row>
    <row r="125" spans="1:19" ht="12.75" hidden="1" thickBot="1" x14ac:dyDescent="0.25">
      <c r="A125" s="445" t="s">
        <v>144</v>
      </c>
      <c r="B125" s="172"/>
      <c r="C125" s="172"/>
      <c r="D125" s="172"/>
      <c r="E125" s="174"/>
      <c r="F125" s="172"/>
      <c r="G125" s="174"/>
      <c r="H125" s="193"/>
      <c r="I125" s="174"/>
      <c r="J125" s="193"/>
      <c r="K125" s="194"/>
      <c r="L125" s="237">
        <f t="shared" si="15"/>
        <v>0</v>
      </c>
      <c r="M125" s="174"/>
      <c r="N125" s="172"/>
      <c r="O125" s="174"/>
      <c r="P125" s="172"/>
      <c r="Q125" s="174"/>
      <c r="R125" s="172" t="e">
        <v>#REF!</v>
      </c>
      <c r="S125" s="298" t="e">
        <f>L125+M125+N125+O125+P125+Q125+R125</f>
        <v>#REF!</v>
      </c>
    </row>
    <row r="126" spans="1:19" ht="23.45" customHeight="1" thickBot="1" x14ac:dyDescent="0.25">
      <c r="A126" s="435" t="s">
        <v>145</v>
      </c>
      <c r="B126" s="238">
        <f>SUM(B127:B131)</f>
        <v>536946</v>
      </c>
      <c r="C126" s="238">
        <f t="shared" ref="C126:K126" si="23">SUM(C127:C131)</f>
        <v>286109</v>
      </c>
      <c r="D126" s="238">
        <f t="shared" si="23"/>
        <v>570301</v>
      </c>
      <c r="E126" s="239">
        <f t="shared" si="23"/>
        <v>270813</v>
      </c>
      <c r="F126" s="238">
        <f t="shared" si="23"/>
        <v>83841</v>
      </c>
      <c r="G126" s="239">
        <f>SUM(G127:G131)</f>
        <v>1109277.6800000002</v>
      </c>
      <c r="H126" s="238">
        <f>SUM(H127:H131)</f>
        <v>0</v>
      </c>
      <c r="I126" s="239">
        <f t="shared" si="23"/>
        <v>256405</v>
      </c>
      <c r="J126" s="238">
        <f t="shared" si="23"/>
        <v>22960</v>
      </c>
      <c r="K126" s="239">
        <f t="shared" si="23"/>
        <v>0</v>
      </c>
      <c r="L126" s="223">
        <f t="shared" si="15"/>
        <v>3136652.68</v>
      </c>
      <c r="M126" s="239">
        <f>M131</f>
        <v>4709189.13</v>
      </c>
      <c r="N126" s="238">
        <f>N127+N129+N130+N131+N141</f>
        <v>63137</v>
      </c>
      <c r="O126" s="239">
        <f>O127+O129+O130+O131+O141</f>
        <v>37894</v>
      </c>
      <c r="P126" s="238">
        <f>P127+P129+P130+P131+P141</f>
        <v>0</v>
      </c>
      <c r="Q126" s="239">
        <f>Q127+Q129+Q130+Q131+Q141</f>
        <v>0</v>
      </c>
      <c r="R126" s="238">
        <f>R127+R129+R130+R131</f>
        <v>100000</v>
      </c>
      <c r="S126" s="238">
        <f>L126+SUM(M126:R126)</f>
        <v>8046872.8100000005</v>
      </c>
    </row>
    <row r="127" spans="1:19" ht="12.75" thickBot="1" x14ac:dyDescent="0.25">
      <c r="A127" s="446" t="s">
        <v>146</v>
      </c>
      <c r="B127" s="240">
        <f>56322+úpravy!C28</f>
        <v>134766</v>
      </c>
      <c r="C127" s="240">
        <f>úpravy!D28</f>
        <v>6124</v>
      </c>
      <c r="D127" s="240">
        <f>99922+úpravy!E28</f>
        <v>123128</v>
      </c>
      <c r="E127" s="463">
        <f>úpravy!F28</f>
        <v>16368</v>
      </c>
      <c r="F127" s="240">
        <f>15781+úpravy!G28</f>
        <v>43832</v>
      </c>
      <c r="G127" s="463">
        <f>10780+úpravy!H28</f>
        <v>12034</v>
      </c>
      <c r="H127" s="240"/>
      <c r="I127" s="463">
        <f>18384+úpravy!J28</f>
        <v>28984</v>
      </c>
      <c r="J127" s="240">
        <f>4117+úpravy!M28</f>
        <v>10070</v>
      </c>
      <c r="K127" s="463"/>
      <c r="L127" s="213">
        <f t="shared" si="15"/>
        <v>375306</v>
      </c>
      <c r="M127" s="463"/>
      <c r="N127" s="240"/>
      <c r="O127" s="463"/>
      <c r="P127" s="240"/>
      <c r="Q127" s="463"/>
      <c r="R127" s="240"/>
      <c r="S127" s="417">
        <f t="shared" ref="S127:S138" si="24">L127+SUM(M127:R127)</f>
        <v>375306</v>
      </c>
    </row>
    <row r="128" spans="1:19" ht="12" x14ac:dyDescent="0.2">
      <c r="A128" s="446" t="s">
        <v>147</v>
      </c>
      <c r="B128" s="172"/>
      <c r="C128" s="172"/>
      <c r="D128" s="172"/>
      <c r="E128" s="174"/>
      <c r="F128" s="172"/>
      <c r="G128" s="174"/>
      <c r="H128" s="172"/>
      <c r="I128" s="174"/>
      <c r="J128" s="172"/>
      <c r="K128" s="174"/>
      <c r="L128" s="208">
        <f t="shared" si="15"/>
        <v>0</v>
      </c>
      <c r="M128" s="174"/>
      <c r="N128" s="172"/>
      <c r="O128" s="174"/>
      <c r="P128" s="172"/>
      <c r="Q128" s="174"/>
      <c r="R128" s="172"/>
      <c r="S128" s="416">
        <f t="shared" si="24"/>
        <v>0</v>
      </c>
    </row>
    <row r="129" spans="1:20" ht="12" x14ac:dyDescent="0.2">
      <c r="A129" s="447" t="s">
        <v>148</v>
      </c>
      <c r="B129" s="188">
        <v>298156</v>
      </c>
      <c r="C129" s="188">
        <v>117519</v>
      </c>
      <c r="D129" s="188">
        <v>341171</v>
      </c>
      <c r="E129" s="189">
        <v>183870</v>
      </c>
      <c r="F129" s="188">
        <v>0</v>
      </c>
      <c r="G129" s="189">
        <f>205237+úpravy!H22</f>
        <v>205228</v>
      </c>
      <c r="H129" s="188"/>
      <c r="I129" s="189">
        <f>168407+úpravy!J22</f>
        <v>166404</v>
      </c>
      <c r="J129" s="188">
        <v>0</v>
      </c>
      <c r="K129" s="189"/>
      <c r="L129" s="208">
        <f t="shared" si="15"/>
        <v>1312348</v>
      </c>
      <c r="M129" s="189"/>
      <c r="N129" s="188"/>
      <c r="O129" s="189"/>
      <c r="P129" s="188"/>
      <c r="Q129" s="189"/>
      <c r="R129" s="188"/>
      <c r="S129" s="416">
        <f>L129</f>
        <v>1312348</v>
      </c>
    </row>
    <row r="130" spans="1:20" ht="12.75" thickBot="1" x14ac:dyDescent="0.25">
      <c r="A130" s="447" t="s">
        <v>149</v>
      </c>
      <c r="B130" s="191">
        <v>104024</v>
      </c>
      <c r="C130" s="191">
        <v>36160</v>
      </c>
      <c r="D130" s="191">
        <v>104975</v>
      </c>
      <c r="E130" s="192">
        <v>56575</v>
      </c>
      <c r="F130" s="191">
        <v>40009</v>
      </c>
      <c r="G130" s="192">
        <v>68383</v>
      </c>
      <c r="H130" s="191"/>
      <c r="I130" s="192">
        <v>51817</v>
      </c>
      <c r="J130" s="191">
        <v>12890</v>
      </c>
      <c r="K130" s="192"/>
      <c r="L130" s="208">
        <f t="shared" si="15"/>
        <v>474833</v>
      </c>
      <c r="M130" s="192"/>
      <c r="N130" s="191"/>
      <c r="O130" s="192">
        <f>úpravy!O87</f>
        <v>13567</v>
      </c>
      <c r="P130" s="191">
        <f>13567+úpravy!P87</f>
        <v>0</v>
      </c>
      <c r="Q130" s="192"/>
      <c r="R130" s="172"/>
      <c r="S130" s="300">
        <f>L130+O130+P130</f>
        <v>488400</v>
      </c>
    </row>
    <row r="131" spans="1:20" ht="20.100000000000001" customHeight="1" thickBot="1" x14ac:dyDescent="0.25">
      <c r="A131" s="448" t="s">
        <v>150</v>
      </c>
      <c r="B131" s="241">
        <v>0</v>
      </c>
      <c r="C131" s="241">
        <f>C132+C144+C142</f>
        <v>126306</v>
      </c>
      <c r="D131" s="241">
        <f>D132+D144</f>
        <v>1027</v>
      </c>
      <c r="E131" s="242">
        <f>E132+E142+E146</f>
        <v>14000</v>
      </c>
      <c r="F131" s="241">
        <f>F132+F142</f>
        <v>0</v>
      </c>
      <c r="G131" s="242">
        <f>G132+G144</f>
        <v>823632.68</v>
      </c>
      <c r="H131" s="241">
        <f t="shared" ref="H131:K131" si="25">H132+H142</f>
        <v>0</v>
      </c>
      <c r="I131" s="242">
        <f>I132+I142+I146</f>
        <v>9200</v>
      </c>
      <c r="J131" s="241">
        <f t="shared" si="25"/>
        <v>0</v>
      </c>
      <c r="K131" s="242">
        <f t="shared" si="25"/>
        <v>0</v>
      </c>
      <c r="L131" s="243">
        <f t="shared" si="15"/>
        <v>974165.68</v>
      </c>
      <c r="M131" s="242">
        <f>M132+M142</f>
        <v>4709189.13</v>
      </c>
      <c r="N131" s="241">
        <f>N132+N141++N142+N143+N144</f>
        <v>63137</v>
      </c>
      <c r="O131" s="242">
        <f>O132+O141++O142+O143+O144</f>
        <v>24327</v>
      </c>
      <c r="P131" s="241">
        <f>P132+P144+P142+P143</f>
        <v>0</v>
      </c>
      <c r="Q131" s="242">
        <f>Q132+Q142</f>
        <v>0</v>
      </c>
      <c r="R131" s="241">
        <f>R132</f>
        <v>100000</v>
      </c>
      <c r="S131" s="418">
        <f>L131+SUM(M131:R131)</f>
        <v>5870818.8099999996</v>
      </c>
    </row>
    <row r="132" spans="1:20" ht="19.350000000000001" customHeight="1" thickBot="1" x14ac:dyDescent="0.25">
      <c r="A132" s="449" t="s">
        <v>151</v>
      </c>
      <c r="B132" s="244"/>
      <c r="C132" s="244"/>
      <c r="D132" s="244"/>
      <c r="E132" s="245"/>
      <c r="F132" s="244"/>
      <c r="G132" s="245">
        <f>G133+G134+G135+G138+G139+G141+G145+G140</f>
        <v>815734.68</v>
      </c>
      <c r="H132" s="244">
        <v>0</v>
      </c>
      <c r="I132" s="245"/>
      <c r="J132" s="244"/>
      <c r="K132" s="245">
        <v>0</v>
      </c>
      <c r="L132" s="246">
        <f t="shared" si="15"/>
        <v>815734.68</v>
      </c>
      <c r="M132" s="479">
        <f>SUM(M133:M147)</f>
        <v>4709189.13</v>
      </c>
      <c r="N132" s="244">
        <f>SUM(N133:N141)</f>
        <v>0</v>
      </c>
      <c r="O132" s="245">
        <f>SUM(O133:O141)</f>
        <v>0</v>
      </c>
      <c r="P132" s="244">
        <f>SUM(P133:P141)+P145</f>
        <v>0</v>
      </c>
      <c r="Q132" s="245">
        <f>SUM(Q133:Q141)</f>
        <v>0</v>
      </c>
      <c r="R132" s="244">
        <f>SUM(R133:R148)</f>
        <v>100000</v>
      </c>
      <c r="S132" s="419">
        <f>L132+SUM(M132:R132)</f>
        <v>5624923.8099999996</v>
      </c>
    </row>
    <row r="133" spans="1:20" ht="19.350000000000001" customHeight="1" x14ac:dyDescent="0.2">
      <c r="A133" s="247" t="s">
        <v>152</v>
      </c>
      <c r="B133" s="248"/>
      <c r="C133" s="248"/>
      <c r="D133" s="248"/>
      <c r="E133" s="249"/>
      <c r="F133" s="248"/>
      <c r="G133" s="467">
        <v>358372</v>
      </c>
      <c r="H133" s="250"/>
      <c r="I133" s="249"/>
      <c r="J133" s="248"/>
      <c r="K133" s="468"/>
      <c r="L133" s="251">
        <f t="shared" si="15"/>
        <v>358372</v>
      </c>
      <c r="M133" s="480">
        <v>1500917</v>
      </c>
      <c r="N133" s="252"/>
      <c r="O133" s="253"/>
      <c r="P133" s="252"/>
      <c r="Q133" s="254"/>
      <c r="R133" s="252">
        <v>0</v>
      </c>
      <c r="S133" s="420">
        <f t="shared" si="24"/>
        <v>1859289</v>
      </c>
    </row>
    <row r="134" spans="1:20" ht="19.350000000000001" customHeight="1" x14ac:dyDescent="0.2">
      <c r="A134" s="247" t="s">
        <v>199</v>
      </c>
      <c r="B134" s="248"/>
      <c r="C134" s="248"/>
      <c r="D134" s="248"/>
      <c r="E134" s="249"/>
      <c r="F134" s="248"/>
      <c r="G134" s="468">
        <v>50000</v>
      </c>
      <c r="H134" s="250"/>
      <c r="I134" s="249"/>
      <c r="J134" s="248"/>
      <c r="K134" s="468"/>
      <c r="L134" s="251">
        <f t="shared" si="15"/>
        <v>50000</v>
      </c>
      <c r="M134" s="480">
        <v>191409</v>
      </c>
      <c r="N134" s="252"/>
      <c r="O134" s="253"/>
      <c r="P134" s="252"/>
      <c r="Q134" s="254"/>
      <c r="R134" s="252">
        <f>úpravy!R22</f>
        <v>0</v>
      </c>
      <c r="S134" s="420">
        <f t="shared" si="24"/>
        <v>241409</v>
      </c>
    </row>
    <row r="135" spans="1:20" ht="20.100000000000001" customHeight="1" x14ac:dyDescent="0.2">
      <c r="A135" s="357" t="s">
        <v>153</v>
      </c>
      <c r="B135" s="255"/>
      <c r="C135" s="255"/>
      <c r="D135" s="255"/>
      <c r="E135" s="256"/>
      <c r="F135" s="255"/>
      <c r="G135" s="256">
        <v>126147</v>
      </c>
      <c r="H135" s="257"/>
      <c r="I135" s="256"/>
      <c r="J135" s="255"/>
      <c r="K135" s="473"/>
      <c r="L135" s="258">
        <f t="shared" si="15"/>
        <v>126147</v>
      </c>
      <c r="M135" s="481">
        <v>528322</v>
      </c>
      <c r="N135" s="259"/>
      <c r="O135" s="260"/>
      <c r="P135" s="259"/>
      <c r="Q135" s="261"/>
      <c r="R135" s="259">
        <v>0</v>
      </c>
      <c r="S135" s="421">
        <f t="shared" si="24"/>
        <v>654469</v>
      </c>
    </row>
    <row r="136" spans="1:20" ht="20.100000000000001" hidden="1" customHeight="1" x14ac:dyDescent="0.2">
      <c r="A136" s="262" t="s">
        <v>154</v>
      </c>
      <c r="B136" s="263"/>
      <c r="C136" s="263"/>
      <c r="D136" s="263"/>
      <c r="E136" s="264"/>
      <c r="F136" s="263"/>
      <c r="G136" s="264"/>
      <c r="H136" s="265"/>
      <c r="I136" s="264"/>
      <c r="J136" s="263"/>
      <c r="K136" s="474"/>
      <c r="L136" s="258">
        <f t="shared" ref="L136:L166" si="26">SUM(B136:K136)</f>
        <v>0</v>
      </c>
      <c r="M136" s="482"/>
      <c r="N136" s="263"/>
      <c r="O136" s="264"/>
      <c r="P136" s="263"/>
      <c r="Q136" s="266"/>
      <c r="R136" s="263"/>
      <c r="S136" s="421">
        <f t="shared" si="24"/>
        <v>0</v>
      </c>
    </row>
    <row r="137" spans="1:20" ht="19.350000000000001" hidden="1" customHeight="1" x14ac:dyDescent="0.2">
      <c r="A137" s="262" t="s">
        <v>155</v>
      </c>
      <c r="B137" s="263"/>
      <c r="C137" s="263"/>
      <c r="D137" s="263"/>
      <c r="E137" s="264"/>
      <c r="F137" s="263"/>
      <c r="G137" s="264"/>
      <c r="H137" s="265"/>
      <c r="I137" s="264"/>
      <c r="J137" s="263"/>
      <c r="K137" s="474"/>
      <c r="L137" s="258">
        <f t="shared" si="26"/>
        <v>0</v>
      </c>
      <c r="M137" s="482"/>
      <c r="N137" s="263"/>
      <c r="O137" s="264"/>
      <c r="P137" s="263"/>
      <c r="Q137" s="266"/>
      <c r="R137" s="263"/>
      <c r="S137" s="421">
        <f t="shared" si="24"/>
        <v>0</v>
      </c>
    </row>
    <row r="138" spans="1:20" ht="19.350000000000001" customHeight="1" x14ac:dyDescent="0.2">
      <c r="A138" s="357" t="s">
        <v>200</v>
      </c>
      <c r="B138" s="358"/>
      <c r="C138" s="358"/>
      <c r="D138" s="358"/>
      <c r="E138" s="359"/>
      <c r="F138" s="358"/>
      <c r="G138" s="359">
        <v>17600</v>
      </c>
      <c r="H138" s="360"/>
      <c r="I138" s="359"/>
      <c r="J138" s="358"/>
      <c r="K138" s="475"/>
      <c r="L138" s="258">
        <f t="shared" si="26"/>
        <v>17600</v>
      </c>
      <c r="M138" s="483">
        <v>67376</v>
      </c>
      <c r="N138" s="358"/>
      <c r="O138" s="359"/>
      <c r="P138" s="358"/>
      <c r="Q138" s="361"/>
      <c r="R138" s="358">
        <f>úpravy!R23</f>
        <v>0</v>
      </c>
      <c r="S138" s="421">
        <f t="shared" si="24"/>
        <v>84976</v>
      </c>
    </row>
    <row r="139" spans="1:20" ht="19.350000000000001" customHeight="1" x14ac:dyDescent="0.2">
      <c r="A139" s="355" t="s">
        <v>156</v>
      </c>
      <c r="B139" s="268"/>
      <c r="C139" s="268"/>
      <c r="D139" s="268"/>
      <c r="E139" s="269"/>
      <c r="F139" s="268"/>
      <c r="G139" s="269">
        <v>225820</v>
      </c>
      <c r="H139" s="268"/>
      <c r="I139" s="269"/>
      <c r="J139" s="268"/>
      <c r="K139" s="269"/>
      <c r="L139" s="267">
        <f t="shared" si="26"/>
        <v>225820</v>
      </c>
      <c r="M139" s="484">
        <v>958548</v>
      </c>
      <c r="N139" s="268"/>
      <c r="O139" s="269"/>
      <c r="P139" s="268"/>
      <c r="Q139" s="270"/>
      <c r="R139" s="268">
        <v>0</v>
      </c>
      <c r="S139" s="422">
        <f t="shared" ref="S139:S148" si="27">L139+SUM(M139:R139)</f>
        <v>1184368</v>
      </c>
    </row>
    <row r="140" spans="1:20" s="168" customFormat="1" ht="20.100000000000001" customHeight="1" x14ac:dyDescent="0.2">
      <c r="A140" s="374" t="s">
        <v>312</v>
      </c>
      <c r="B140" s="375"/>
      <c r="C140" s="375"/>
      <c r="D140" s="375"/>
      <c r="E140" s="376"/>
      <c r="F140" s="375"/>
      <c r="G140" s="376">
        <f>úpravy!H38+úpravy!H200</f>
        <v>2452.6799999999998</v>
      </c>
      <c r="H140" s="375"/>
      <c r="I140" s="376"/>
      <c r="J140" s="375"/>
      <c r="K140" s="376"/>
      <c r="L140" s="373">
        <f t="shared" si="26"/>
        <v>2452.6799999999998</v>
      </c>
      <c r="M140" s="485">
        <f>úpravy!K38+úpravy!K200</f>
        <v>6998.9699999999993</v>
      </c>
      <c r="N140" s="377"/>
      <c r="O140" s="378"/>
      <c r="P140" s="377"/>
      <c r="Q140" s="379"/>
      <c r="R140" s="375">
        <f>úpravy!R197+úpravy!R200</f>
        <v>0</v>
      </c>
      <c r="S140" s="423">
        <f t="shared" si="27"/>
        <v>9451.65</v>
      </c>
    </row>
    <row r="141" spans="1:20" ht="20.100000000000001" customHeight="1" x14ac:dyDescent="0.2">
      <c r="A141" s="271" t="s">
        <v>157</v>
      </c>
      <c r="B141" s="188"/>
      <c r="C141" s="188"/>
      <c r="D141" s="188"/>
      <c r="E141" s="189"/>
      <c r="F141" s="188"/>
      <c r="G141" s="269">
        <f>47838+úpravy!H29</f>
        <v>5197</v>
      </c>
      <c r="H141" s="188"/>
      <c r="I141" s="189"/>
      <c r="J141" s="188"/>
      <c r="K141" s="189"/>
      <c r="L141" s="267">
        <f t="shared" si="26"/>
        <v>5197</v>
      </c>
      <c r="M141" s="484">
        <f>198916+úpravy!K29</f>
        <v>301557</v>
      </c>
      <c r="N141" s="188"/>
      <c r="O141" s="189"/>
      <c r="P141" s="188"/>
      <c r="Q141" s="272"/>
      <c r="R141" s="268">
        <v>0</v>
      </c>
      <c r="S141" s="422">
        <f>L141+SUM(M141:R141)</f>
        <v>306754</v>
      </c>
    </row>
    <row r="142" spans="1:20" ht="20.100000000000001" customHeight="1" x14ac:dyDescent="0.2">
      <c r="A142" s="273" t="s">
        <v>243</v>
      </c>
      <c r="B142" s="191"/>
      <c r="C142" s="456">
        <f>úpravy!D16</f>
        <v>100000</v>
      </c>
      <c r="D142" s="275"/>
      <c r="E142" s="192"/>
      <c r="F142" s="191"/>
      <c r="G142" s="274"/>
      <c r="H142" s="191"/>
      <c r="I142" s="192"/>
      <c r="J142" s="191"/>
      <c r="K142" s="192"/>
      <c r="L142" s="276">
        <f t="shared" si="26"/>
        <v>100000</v>
      </c>
      <c r="M142" s="192"/>
      <c r="N142" s="191"/>
      <c r="O142" s="192">
        <f>úpravy!O16</f>
        <v>0</v>
      </c>
      <c r="P142" s="277">
        <f>100000+úpravy!P16</f>
        <v>0</v>
      </c>
      <c r="Q142" s="278"/>
      <c r="R142" s="499">
        <f>úpravy!R183</f>
        <v>100000</v>
      </c>
      <c r="S142" s="424">
        <f>L142+SUM(M142:R142)</f>
        <v>200000</v>
      </c>
    </row>
    <row r="143" spans="1:20" ht="20.100000000000001" customHeight="1" x14ac:dyDescent="0.2">
      <c r="A143" s="273" t="s">
        <v>231</v>
      </c>
      <c r="B143" s="191"/>
      <c r="C143" s="275"/>
      <c r="D143" s="275"/>
      <c r="E143" s="192"/>
      <c r="F143" s="191"/>
      <c r="G143" s="469"/>
      <c r="H143" s="188"/>
      <c r="I143" s="189"/>
      <c r="J143" s="188"/>
      <c r="K143" s="189"/>
      <c r="L143" s="208">
        <f t="shared" si="26"/>
        <v>0</v>
      </c>
      <c r="M143" s="189"/>
      <c r="N143" s="188">
        <f>úpravy!L18</f>
        <v>63137</v>
      </c>
      <c r="O143" s="189"/>
      <c r="P143" s="93">
        <f>63137+úpravy!P18</f>
        <v>0</v>
      </c>
      <c r="Q143" s="272"/>
      <c r="R143" s="188"/>
      <c r="S143" s="425">
        <f>SUM(B143:R143)</f>
        <v>63137</v>
      </c>
    </row>
    <row r="144" spans="1:20" s="279" customFormat="1" ht="20.100000000000001" customHeight="1" x14ac:dyDescent="0.2">
      <c r="A144" s="280" t="s">
        <v>158</v>
      </c>
      <c r="B144" s="188"/>
      <c r="C144" s="281">
        <f>úpravy!D17</f>
        <v>26306</v>
      </c>
      <c r="D144" s="282">
        <f>úpravy!E17</f>
        <v>1027</v>
      </c>
      <c r="E144" s="457"/>
      <c r="F144" s="282"/>
      <c r="G144" s="457">
        <f>úpravy!H17</f>
        <v>7898</v>
      </c>
      <c r="H144" s="188"/>
      <c r="I144" s="189"/>
      <c r="J144" s="188"/>
      <c r="K144" s="189"/>
      <c r="L144" s="208">
        <f t="shared" si="26"/>
        <v>35231</v>
      </c>
      <c r="M144" s="189"/>
      <c r="N144" s="188"/>
      <c r="O144" s="189">
        <f>úpravy!O17</f>
        <v>24327</v>
      </c>
      <c r="P144" s="188">
        <f>59558+úpravy!P17</f>
        <v>0</v>
      </c>
      <c r="Q144" s="272"/>
      <c r="R144" s="188"/>
      <c r="S144" s="426">
        <f t="shared" si="27"/>
        <v>59558</v>
      </c>
      <c r="T144" s="408"/>
    </row>
    <row r="145" spans="1:19" ht="20.100000000000001" customHeight="1" x14ac:dyDescent="0.2">
      <c r="A145" s="402" t="s">
        <v>306</v>
      </c>
      <c r="B145" s="403"/>
      <c r="C145" s="403"/>
      <c r="D145" s="403"/>
      <c r="E145" s="404"/>
      <c r="F145" s="403"/>
      <c r="G145" s="404">
        <f>úpravy!H25</f>
        <v>30146</v>
      </c>
      <c r="H145" s="403"/>
      <c r="I145" s="404"/>
      <c r="J145" s="403"/>
      <c r="K145" s="404"/>
      <c r="L145" s="405">
        <f t="shared" si="26"/>
        <v>30146</v>
      </c>
      <c r="M145" s="404">
        <f>úpravy!K25+úpravy!K206</f>
        <v>1154061.1599999999</v>
      </c>
      <c r="N145" s="403"/>
      <c r="O145" s="404"/>
      <c r="P145" s="403">
        <f>úpravy!P25+úpravy!P173</f>
        <v>0</v>
      </c>
      <c r="Q145" s="406"/>
      <c r="R145" s="403">
        <f>úpravy!R203+úpravy!R206</f>
        <v>0</v>
      </c>
      <c r="S145" s="427">
        <f t="shared" si="27"/>
        <v>1184207.1599999999</v>
      </c>
    </row>
    <row r="146" spans="1:19" ht="20.100000000000001" customHeight="1" thickBot="1" x14ac:dyDescent="0.25">
      <c r="A146" s="171" t="s">
        <v>314</v>
      </c>
      <c r="B146" s="193"/>
      <c r="C146" s="193"/>
      <c r="D146" s="193"/>
      <c r="E146" s="464">
        <v>14000</v>
      </c>
      <c r="F146" s="193"/>
      <c r="G146" s="470"/>
      <c r="H146" s="193"/>
      <c r="I146" s="464">
        <v>9200</v>
      </c>
      <c r="J146" s="193"/>
      <c r="K146" s="194"/>
      <c r="L146" s="208">
        <f t="shared" si="26"/>
        <v>23200</v>
      </c>
      <c r="M146" s="194"/>
      <c r="N146" s="193"/>
      <c r="O146" s="194"/>
      <c r="P146" s="193"/>
      <c r="Q146" s="283"/>
      <c r="R146" s="193"/>
      <c r="S146" s="428">
        <f t="shared" si="27"/>
        <v>23200</v>
      </c>
    </row>
    <row r="147" spans="1:19" ht="20.100000000000001" hidden="1" customHeight="1" x14ac:dyDescent="0.2">
      <c r="A147" s="407"/>
      <c r="B147" s="193"/>
      <c r="C147" s="193"/>
      <c r="D147" s="193"/>
      <c r="E147" s="194"/>
      <c r="F147" s="193"/>
      <c r="G147" s="470"/>
      <c r="H147" s="193"/>
      <c r="I147" s="194"/>
      <c r="J147" s="193"/>
      <c r="K147" s="194"/>
      <c r="L147" s="208">
        <f t="shared" si="26"/>
        <v>0</v>
      </c>
      <c r="M147" s="194"/>
      <c r="N147" s="193"/>
      <c r="O147" s="194"/>
      <c r="P147" s="193"/>
      <c r="Q147" s="283"/>
      <c r="R147" s="193"/>
      <c r="S147" s="426">
        <f t="shared" si="27"/>
        <v>0</v>
      </c>
    </row>
    <row r="148" spans="1:19" ht="20.100000000000001" hidden="1" customHeight="1" thickBot="1" x14ac:dyDescent="0.25">
      <c r="A148" s="171"/>
      <c r="B148" s="193"/>
      <c r="C148" s="193"/>
      <c r="D148" s="193"/>
      <c r="E148" s="194"/>
      <c r="F148" s="193"/>
      <c r="G148" s="470"/>
      <c r="H148" s="193"/>
      <c r="I148" s="194"/>
      <c r="J148" s="193"/>
      <c r="K148" s="194"/>
      <c r="L148" s="208">
        <f t="shared" si="26"/>
        <v>0</v>
      </c>
      <c r="M148" s="194"/>
      <c r="N148" s="193"/>
      <c r="O148" s="194"/>
      <c r="P148" s="193"/>
      <c r="Q148" s="283"/>
      <c r="R148" s="193"/>
      <c r="S148" s="426">
        <f t="shared" si="27"/>
        <v>0</v>
      </c>
    </row>
    <row r="149" spans="1:19" ht="19.350000000000001" customHeight="1" thickBot="1" x14ac:dyDescent="0.25">
      <c r="A149" s="284" t="s">
        <v>159</v>
      </c>
      <c r="B149" s="302">
        <f>úpravy!C10+úpravy!C79</f>
        <v>535559.29</v>
      </c>
      <c r="C149" s="302">
        <f>úpravy!D10+úpravy!D77+úpravy!D78+úpravy!D79</f>
        <v>425115</v>
      </c>
      <c r="D149" s="302">
        <f>úpravy!E10</f>
        <v>1135212.42</v>
      </c>
      <c r="E149" s="303">
        <f>úpravy!F10+úpravy!F77</f>
        <v>1676602.36</v>
      </c>
      <c r="F149" s="302">
        <f>úpravy!G10</f>
        <v>0</v>
      </c>
      <c r="G149" s="303">
        <f>úpravy!H10</f>
        <v>599290.06999999995</v>
      </c>
      <c r="H149" s="302"/>
      <c r="I149" s="303">
        <f>úpravy!J10+úpravy!J78</f>
        <v>88220</v>
      </c>
      <c r="J149" s="302">
        <f>úpravy!M10</f>
        <v>73865</v>
      </c>
      <c r="K149" s="303"/>
      <c r="L149" s="304">
        <f t="shared" si="26"/>
        <v>4533864.1400000006</v>
      </c>
      <c r="M149" s="303"/>
      <c r="N149" s="302"/>
      <c r="O149" s="303"/>
      <c r="P149" s="302"/>
      <c r="Q149" s="303"/>
      <c r="R149" s="302"/>
      <c r="S149" s="429">
        <f t="shared" ref="S149:S155" si="28">L149+M149+N149+O149+P149+Q149+R149</f>
        <v>4533864.1400000006</v>
      </c>
    </row>
    <row r="150" spans="1:19" ht="20.45" customHeight="1" thickBot="1" x14ac:dyDescent="0.25">
      <c r="A150" s="362" t="s">
        <v>160</v>
      </c>
      <c r="B150" s="363"/>
      <c r="C150" s="363">
        <f>úpravy!D11</f>
        <v>550000</v>
      </c>
      <c r="D150" s="363">
        <f>úpravy!E11</f>
        <v>191881.75</v>
      </c>
      <c r="E150" s="364"/>
      <c r="F150" s="363"/>
      <c r="G150" s="364"/>
      <c r="H150" s="363"/>
      <c r="I150" s="364"/>
      <c r="J150" s="363"/>
      <c r="K150" s="364"/>
      <c r="L150" s="304">
        <f t="shared" si="26"/>
        <v>741881.75</v>
      </c>
      <c r="M150" s="364"/>
      <c r="N150" s="363"/>
      <c r="O150" s="364"/>
      <c r="P150" s="363"/>
      <c r="Q150" s="364"/>
      <c r="R150" s="363"/>
      <c r="S150" s="429">
        <f t="shared" si="28"/>
        <v>741881.75</v>
      </c>
    </row>
    <row r="151" spans="1:19" ht="19.5" customHeight="1" thickBot="1" x14ac:dyDescent="0.25">
      <c r="A151" s="284" t="s">
        <v>161</v>
      </c>
      <c r="B151" s="302"/>
      <c r="C151" s="302"/>
      <c r="D151" s="302">
        <f>úpravy!E26</f>
        <v>0</v>
      </c>
      <c r="E151" s="303"/>
      <c r="F151" s="302"/>
      <c r="G151" s="303"/>
      <c r="H151" s="302"/>
      <c r="I151" s="303"/>
      <c r="J151" s="302"/>
      <c r="K151" s="303"/>
      <c r="L151" s="304">
        <f t="shared" si="26"/>
        <v>0</v>
      </c>
      <c r="M151" s="303"/>
      <c r="N151" s="302"/>
      <c r="O151" s="303"/>
      <c r="P151" s="302"/>
      <c r="Q151" s="303"/>
      <c r="R151" s="302"/>
      <c r="S151" s="429">
        <f t="shared" si="28"/>
        <v>0</v>
      </c>
    </row>
    <row r="152" spans="1:19" ht="19.350000000000001" customHeight="1" thickBot="1" x14ac:dyDescent="0.25">
      <c r="A152" s="362" t="s">
        <v>162</v>
      </c>
      <c r="B152" s="363"/>
      <c r="C152" s="363"/>
      <c r="D152" s="363"/>
      <c r="E152" s="364"/>
      <c r="F152" s="363"/>
      <c r="G152" s="364"/>
      <c r="H152" s="363"/>
      <c r="I152" s="364"/>
      <c r="J152" s="363"/>
      <c r="K152" s="364"/>
      <c r="L152" s="304">
        <f t="shared" si="26"/>
        <v>0</v>
      </c>
      <c r="M152" s="364"/>
      <c r="N152" s="363"/>
      <c r="O152" s="364"/>
      <c r="P152" s="302"/>
      <c r="Q152" s="364"/>
      <c r="R152" s="363"/>
      <c r="S152" s="430">
        <f t="shared" si="28"/>
        <v>0</v>
      </c>
    </row>
    <row r="153" spans="1:19" ht="19.350000000000001" customHeight="1" thickBot="1" x14ac:dyDescent="0.25">
      <c r="A153" s="305" t="s">
        <v>163</v>
      </c>
      <c r="B153" s="302">
        <f>úpravy!C7</f>
        <v>108860</v>
      </c>
      <c r="C153" s="302">
        <f>úpravy!D7</f>
        <v>16796</v>
      </c>
      <c r="D153" s="302">
        <f>úpravy!E7</f>
        <v>262764</v>
      </c>
      <c r="E153" s="303">
        <f>úpravy!F7</f>
        <v>109064</v>
      </c>
      <c r="F153" s="302">
        <f>úpravy!G7</f>
        <v>34310</v>
      </c>
      <c r="G153" s="303">
        <f>úpravy!H7</f>
        <v>8960</v>
      </c>
      <c r="H153" s="302"/>
      <c r="I153" s="303">
        <f>úpravy!J7</f>
        <v>59540</v>
      </c>
      <c r="J153" s="302">
        <f>úpravy!M7</f>
        <v>7490</v>
      </c>
      <c r="K153" s="303"/>
      <c r="L153" s="304">
        <f t="shared" si="26"/>
        <v>607784</v>
      </c>
      <c r="M153" s="303"/>
      <c r="N153" s="302"/>
      <c r="O153" s="303"/>
      <c r="P153" s="365"/>
      <c r="Q153" s="303"/>
      <c r="R153" s="302"/>
      <c r="S153" s="429">
        <f t="shared" si="28"/>
        <v>607784</v>
      </c>
    </row>
    <row r="154" spans="1:19" ht="19.350000000000001" customHeight="1" thickBot="1" x14ac:dyDescent="0.25">
      <c r="A154" s="305" t="s">
        <v>164</v>
      </c>
      <c r="B154" s="302"/>
      <c r="C154" s="302">
        <f>úpravy!D8</f>
        <v>2400</v>
      </c>
      <c r="D154" s="302">
        <f>úpravy!E8</f>
        <v>800</v>
      </c>
      <c r="E154" s="303"/>
      <c r="F154" s="302"/>
      <c r="G154" s="303">
        <f>úpravy!H8</f>
        <v>4060</v>
      </c>
      <c r="H154" s="302"/>
      <c r="I154" s="303">
        <f>úpravy!J8</f>
        <v>2202</v>
      </c>
      <c r="J154" s="302"/>
      <c r="K154" s="303"/>
      <c r="L154" s="304">
        <f t="shared" si="26"/>
        <v>9462</v>
      </c>
      <c r="M154" s="303"/>
      <c r="N154" s="302"/>
      <c r="O154" s="303"/>
      <c r="P154" s="302"/>
      <c r="Q154" s="303"/>
      <c r="R154" s="302"/>
      <c r="S154" s="429">
        <f t="shared" si="28"/>
        <v>9462</v>
      </c>
    </row>
    <row r="155" spans="1:19" ht="19.350000000000001" customHeight="1" thickBot="1" x14ac:dyDescent="0.25">
      <c r="A155" s="305" t="s">
        <v>182</v>
      </c>
      <c r="B155" s="302">
        <f>úpravy!C9</f>
        <v>0</v>
      </c>
      <c r="C155" s="302">
        <f>úpravy!D9</f>
        <v>0</v>
      </c>
      <c r="D155" s="302">
        <f>úpravy!E9</f>
        <v>0</v>
      </c>
      <c r="E155" s="303">
        <f>úpravy!F9</f>
        <v>0</v>
      </c>
      <c r="F155" s="302">
        <f>úpravy!G9</f>
        <v>0</v>
      </c>
      <c r="G155" s="303">
        <f>úpravy!H9</f>
        <v>0</v>
      </c>
      <c r="H155" s="302">
        <f>úpravy!I9</f>
        <v>0</v>
      </c>
      <c r="I155" s="303">
        <f>úpravy!J9</f>
        <v>0</v>
      </c>
      <c r="J155" s="302">
        <f>úpravy!M9</f>
        <v>0</v>
      </c>
      <c r="K155" s="303"/>
      <c r="L155" s="304">
        <f t="shared" si="26"/>
        <v>0</v>
      </c>
      <c r="M155" s="303"/>
      <c r="N155" s="302"/>
      <c r="O155" s="303"/>
      <c r="P155" s="302"/>
      <c r="Q155" s="303"/>
      <c r="R155" s="302"/>
      <c r="S155" s="429">
        <f t="shared" si="28"/>
        <v>0</v>
      </c>
    </row>
    <row r="156" spans="1:19" s="289" customFormat="1" ht="12.75" thickBot="1" x14ac:dyDescent="0.25">
      <c r="A156" s="285"/>
      <c r="B156" s="286"/>
      <c r="C156" s="286"/>
      <c r="D156" s="286"/>
      <c r="E156" s="287"/>
      <c r="F156" s="286"/>
      <c r="G156" s="287"/>
      <c r="H156" s="286"/>
      <c r="I156" s="287"/>
      <c r="J156" s="286"/>
      <c r="K156" s="287"/>
      <c r="L156" s="288">
        <f t="shared" si="26"/>
        <v>0</v>
      </c>
      <c r="M156" s="287"/>
      <c r="N156" s="286"/>
      <c r="O156" s="287"/>
      <c r="P156" s="286"/>
      <c r="Q156" s="287"/>
      <c r="R156" s="286"/>
      <c r="S156" s="431">
        <f>L156+M156+N156+O156+P156+Q156+R156</f>
        <v>0</v>
      </c>
    </row>
    <row r="157" spans="1:19" s="168" customFormat="1" ht="21" customHeight="1" thickBot="1" x14ac:dyDescent="0.25">
      <c r="A157" s="290" t="s">
        <v>165</v>
      </c>
      <c r="B157" s="291">
        <f t="shared" ref="B157:K157" si="29">SUM(B159:B172)</f>
        <v>0</v>
      </c>
      <c r="C157" s="291">
        <f t="shared" si="29"/>
        <v>331000</v>
      </c>
      <c r="D157" s="291">
        <f t="shared" si="29"/>
        <v>0</v>
      </c>
      <c r="E157" s="292">
        <f t="shared" si="29"/>
        <v>80000</v>
      </c>
      <c r="F157" s="291">
        <f t="shared" si="29"/>
        <v>0</v>
      </c>
      <c r="G157" s="292">
        <f t="shared" si="29"/>
        <v>354000</v>
      </c>
      <c r="H157" s="291">
        <f>SUM(H159:H172)</f>
        <v>0</v>
      </c>
      <c r="I157" s="292">
        <f t="shared" si="29"/>
        <v>50000</v>
      </c>
      <c r="J157" s="291">
        <f t="shared" si="29"/>
        <v>0</v>
      </c>
      <c r="K157" s="292">
        <f t="shared" si="29"/>
        <v>0</v>
      </c>
      <c r="L157" s="293">
        <f t="shared" si="26"/>
        <v>815000</v>
      </c>
      <c r="M157" s="292">
        <f t="shared" ref="M157:R157" si="30">SUM(M159:M172)</f>
        <v>0</v>
      </c>
      <c r="N157" s="291">
        <f t="shared" si="30"/>
        <v>0</v>
      </c>
      <c r="O157" s="292">
        <f t="shared" si="30"/>
        <v>70000</v>
      </c>
      <c r="P157" s="291">
        <f t="shared" si="30"/>
        <v>0</v>
      </c>
      <c r="Q157" s="292">
        <f t="shared" si="30"/>
        <v>0</v>
      </c>
      <c r="R157" s="291">
        <f t="shared" si="30"/>
        <v>0</v>
      </c>
      <c r="S157" s="291">
        <f>L157+M157+N157+O157+P157+Q157+R157</f>
        <v>885000</v>
      </c>
    </row>
    <row r="158" spans="1:19" s="168" customFormat="1" ht="44.25" customHeight="1" thickBot="1" x14ac:dyDescent="0.25">
      <c r="A158" s="294" t="s">
        <v>166</v>
      </c>
      <c r="B158" s="295">
        <f>SUM(B159:B164)</f>
        <v>0</v>
      </c>
      <c r="C158" s="295">
        <f>SUM(C159:C164)</f>
        <v>281000</v>
      </c>
      <c r="D158" s="295">
        <f>SUM(D159:D164)</f>
        <v>0</v>
      </c>
      <c r="E158" s="296">
        <f>SUM(E159:E164)</f>
        <v>80000</v>
      </c>
      <c r="F158" s="295">
        <f t="shared" ref="F158:M158" si="31">SUM(F159:F164)</f>
        <v>0</v>
      </c>
      <c r="G158" s="296">
        <f t="shared" si="31"/>
        <v>354000</v>
      </c>
      <c r="H158" s="295">
        <f>SUM(H159:H164)</f>
        <v>0</v>
      </c>
      <c r="I158" s="296">
        <f t="shared" si="31"/>
        <v>50000</v>
      </c>
      <c r="J158" s="295">
        <f t="shared" si="31"/>
        <v>0</v>
      </c>
      <c r="K158" s="296">
        <f t="shared" si="31"/>
        <v>0</v>
      </c>
      <c r="L158" s="297">
        <f t="shared" si="26"/>
        <v>765000</v>
      </c>
      <c r="M158" s="296">
        <f t="shared" si="31"/>
        <v>0</v>
      </c>
      <c r="N158" s="295">
        <f>SUM(N159:N164)</f>
        <v>0</v>
      </c>
      <c r="O158" s="296">
        <f>SUM(O159:O164)</f>
        <v>70000</v>
      </c>
      <c r="P158" s="295">
        <f>SUM(P159:P164)</f>
        <v>0</v>
      </c>
      <c r="Q158" s="296">
        <f>SUM(Q159:Q164)</f>
        <v>0</v>
      </c>
      <c r="R158" s="295">
        <f>SUM(R159:R164)</f>
        <v>0</v>
      </c>
      <c r="S158" s="295">
        <f t="shared" ref="S158:S164" si="32">SUM(L158:R158)</f>
        <v>835000</v>
      </c>
    </row>
    <row r="159" spans="1:19" s="168" customFormat="1" ht="24" x14ac:dyDescent="0.2">
      <c r="A159" s="450" t="s">
        <v>174</v>
      </c>
      <c r="B159" s="298"/>
      <c r="C159" s="298">
        <v>135000</v>
      </c>
      <c r="D159" s="298"/>
      <c r="E159" s="174"/>
      <c r="F159" s="298"/>
      <c r="G159" s="299"/>
      <c r="H159" s="298"/>
      <c r="I159" s="299"/>
      <c r="J159" s="298"/>
      <c r="K159" s="299"/>
      <c r="L159" s="213">
        <f t="shared" si="26"/>
        <v>135000</v>
      </c>
      <c r="M159" s="299"/>
      <c r="N159" s="298"/>
      <c r="O159" s="299"/>
      <c r="P159" s="298"/>
      <c r="Q159" s="299"/>
      <c r="R159" s="298"/>
      <c r="S159" s="298">
        <f t="shared" si="32"/>
        <v>135000</v>
      </c>
    </row>
    <row r="160" spans="1:19" s="168" customFormat="1" ht="24" x14ac:dyDescent="0.2">
      <c r="A160" s="450" t="s">
        <v>188</v>
      </c>
      <c r="B160" s="300"/>
      <c r="C160" s="300"/>
      <c r="D160" s="300"/>
      <c r="E160" s="194"/>
      <c r="F160" s="300"/>
      <c r="G160" s="301"/>
      <c r="H160" s="300"/>
      <c r="I160" s="301">
        <f>úpravy!J226</f>
        <v>50000</v>
      </c>
      <c r="J160" s="300"/>
      <c r="K160" s="301"/>
      <c r="L160" s="213">
        <f t="shared" si="26"/>
        <v>50000</v>
      </c>
      <c r="M160" s="301"/>
      <c r="N160" s="300"/>
      <c r="O160" s="301"/>
      <c r="P160" s="300"/>
      <c r="Q160" s="301"/>
      <c r="R160" s="300"/>
      <c r="S160" s="298">
        <f t="shared" si="32"/>
        <v>50000</v>
      </c>
    </row>
    <row r="161" spans="1:19" s="168" customFormat="1" ht="24" x14ac:dyDescent="0.2">
      <c r="A161" s="451" t="s">
        <v>189</v>
      </c>
      <c r="B161" s="300"/>
      <c r="C161" s="300"/>
      <c r="D161" s="300"/>
      <c r="E161" s="194"/>
      <c r="F161" s="300"/>
      <c r="G161" s="301"/>
      <c r="H161" s="300"/>
      <c r="I161" s="301"/>
      <c r="J161" s="300"/>
      <c r="K161" s="301"/>
      <c r="L161" s="213">
        <f t="shared" si="26"/>
        <v>0</v>
      </c>
      <c r="M161" s="301"/>
      <c r="N161" s="300"/>
      <c r="O161" s="301">
        <f>úpravy!O227</f>
        <v>70000</v>
      </c>
      <c r="P161" s="300"/>
      <c r="Q161" s="301"/>
      <c r="R161" s="300"/>
      <c r="S161" s="298">
        <f t="shared" si="32"/>
        <v>70000</v>
      </c>
    </row>
    <row r="162" spans="1:19" s="168" customFormat="1" ht="36" x14ac:dyDescent="0.2">
      <c r="A162" s="452" t="s">
        <v>190</v>
      </c>
      <c r="B162" s="300"/>
      <c r="C162" s="300"/>
      <c r="D162" s="300"/>
      <c r="E162" s="194">
        <f>úpravy!F228</f>
        <v>80000</v>
      </c>
      <c r="F162" s="300"/>
      <c r="G162" s="301"/>
      <c r="H162" s="300"/>
      <c r="I162" s="301"/>
      <c r="J162" s="300"/>
      <c r="K162" s="301"/>
      <c r="L162" s="213">
        <f t="shared" si="26"/>
        <v>80000</v>
      </c>
      <c r="M162" s="301"/>
      <c r="N162" s="300"/>
      <c r="O162" s="301"/>
      <c r="P162" s="300"/>
      <c r="Q162" s="301"/>
      <c r="R162" s="300"/>
      <c r="S162" s="298">
        <f t="shared" si="32"/>
        <v>80000</v>
      </c>
    </row>
    <row r="163" spans="1:19" s="168" customFormat="1" ht="48" x14ac:dyDescent="0.2">
      <c r="A163" s="453" t="s">
        <v>191</v>
      </c>
      <c r="B163" s="300"/>
      <c r="C163" s="300"/>
      <c r="D163" s="300"/>
      <c r="E163" s="194"/>
      <c r="F163" s="300"/>
      <c r="G163" s="301">
        <f>úpravy!H229</f>
        <v>354000</v>
      </c>
      <c r="H163" s="300"/>
      <c r="I163" s="301"/>
      <c r="J163" s="300"/>
      <c r="K163" s="301"/>
      <c r="L163" s="213">
        <f t="shared" si="26"/>
        <v>354000</v>
      </c>
      <c r="M163" s="301"/>
      <c r="N163" s="300"/>
      <c r="O163" s="301"/>
      <c r="P163" s="300"/>
      <c r="Q163" s="301"/>
      <c r="R163" s="300"/>
      <c r="S163" s="298">
        <f t="shared" si="32"/>
        <v>354000</v>
      </c>
    </row>
    <row r="164" spans="1:19" s="168" customFormat="1" ht="48.75" thickBot="1" x14ac:dyDescent="0.25">
      <c r="A164" s="454" t="s">
        <v>192</v>
      </c>
      <c r="B164" s="191"/>
      <c r="C164" s="191">
        <f>úpravy!D230</f>
        <v>146000</v>
      </c>
      <c r="D164" s="191"/>
      <c r="E164" s="192"/>
      <c r="F164" s="191"/>
      <c r="G164" s="192"/>
      <c r="H164" s="191"/>
      <c r="I164" s="192"/>
      <c r="J164" s="191"/>
      <c r="K164" s="192"/>
      <c r="L164" s="213">
        <f t="shared" si="26"/>
        <v>146000</v>
      </c>
      <c r="M164" s="192"/>
      <c r="N164" s="191"/>
      <c r="O164" s="192"/>
      <c r="P164" s="191"/>
      <c r="Q164" s="192"/>
      <c r="R164" s="191"/>
      <c r="S164" s="298">
        <f t="shared" si="32"/>
        <v>146000</v>
      </c>
    </row>
    <row r="165" spans="1:19" ht="12.75" thickBot="1" x14ac:dyDescent="0.25">
      <c r="A165" s="284" t="s">
        <v>159</v>
      </c>
      <c r="B165" s="302"/>
      <c r="C165" s="302"/>
      <c r="D165" s="302"/>
      <c r="E165" s="303"/>
      <c r="F165" s="302"/>
      <c r="G165" s="303"/>
      <c r="H165" s="302"/>
      <c r="I165" s="303"/>
      <c r="J165" s="302"/>
      <c r="K165" s="303"/>
      <c r="L165" s="304">
        <f t="shared" si="26"/>
        <v>0</v>
      </c>
      <c r="M165" s="303"/>
      <c r="N165" s="302"/>
      <c r="O165" s="303"/>
      <c r="P165" s="302"/>
      <c r="Q165" s="303"/>
      <c r="R165" s="302"/>
      <c r="S165" s="429">
        <f>L165+M165+N165+O165+P165+Q165+R165</f>
        <v>0</v>
      </c>
    </row>
    <row r="166" spans="1:19" ht="15.75" customHeight="1" thickBot="1" x14ac:dyDescent="0.25">
      <c r="A166" s="305" t="s">
        <v>160</v>
      </c>
      <c r="B166" s="306"/>
      <c r="C166" s="306">
        <v>50000</v>
      </c>
      <c r="D166" s="306"/>
      <c r="E166" s="307"/>
      <c r="F166" s="306"/>
      <c r="G166" s="307"/>
      <c r="H166" s="306"/>
      <c r="I166" s="307"/>
      <c r="J166" s="306"/>
      <c r="K166" s="307"/>
      <c r="L166" s="308">
        <f t="shared" si="26"/>
        <v>50000</v>
      </c>
      <c r="M166" s="307"/>
      <c r="N166" s="306"/>
      <c r="O166" s="307"/>
      <c r="P166" s="306"/>
      <c r="Q166" s="307"/>
      <c r="R166" s="306"/>
      <c r="S166" s="432">
        <f>L166+M166+N166+O166+P166+Q166+R166</f>
        <v>50000</v>
      </c>
    </row>
    <row r="167" spans="1:19" ht="21.75" hidden="1" customHeight="1" x14ac:dyDescent="0.2">
      <c r="A167" s="309"/>
      <c r="B167" s="310"/>
      <c r="C167" s="311"/>
      <c r="D167" s="312"/>
      <c r="E167" s="310"/>
      <c r="F167" s="312"/>
      <c r="G167" s="310"/>
      <c r="H167" s="312"/>
      <c r="I167" s="312"/>
      <c r="J167" s="310"/>
      <c r="K167" s="311"/>
      <c r="L167" s="313">
        <f>SUM(B167:I167)</f>
        <v>0</v>
      </c>
      <c r="M167" s="310"/>
      <c r="N167" s="310"/>
      <c r="O167" s="310"/>
      <c r="P167" s="310"/>
      <c r="Q167" s="314"/>
      <c r="R167" s="315"/>
      <c r="S167" s="316">
        <f t="shared" ref="S167:S172" si="33">SUM(L167:Q167)</f>
        <v>0</v>
      </c>
    </row>
    <row r="168" spans="1:19" ht="15" hidden="1" customHeight="1" x14ac:dyDescent="0.2">
      <c r="A168" s="317" t="s">
        <v>141</v>
      </c>
      <c r="B168" s="318"/>
      <c r="C168" s="319"/>
      <c r="D168" s="320"/>
      <c r="E168" s="318"/>
      <c r="F168" s="321"/>
      <c r="G168" s="318"/>
      <c r="H168" s="320"/>
      <c r="I168" s="320"/>
      <c r="J168" s="318"/>
      <c r="K168" s="319"/>
      <c r="L168" s="322">
        <f>SUM(B168:J168)</f>
        <v>0</v>
      </c>
      <c r="M168" s="323"/>
      <c r="N168" s="323"/>
      <c r="O168" s="318"/>
      <c r="P168" s="323"/>
      <c r="Q168" s="324"/>
      <c r="R168" s="323"/>
      <c r="S168" s="325">
        <f t="shared" si="33"/>
        <v>0</v>
      </c>
    </row>
    <row r="169" spans="1:19" ht="18" hidden="1" customHeight="1" x14ac:dyDescent="0.2">
      <c r="A169" s="326" t="s">
        <v>162</v>
      </c>
      <c r="B169" s="327"/>
      <c r="C169" s="328"/>
      <c r="D169" s="329"/>
      <c r="E169" s="327"/>
      <c r="F169" s="329"/>
      <c r="G169" s="327"/>
      <c r="H169" s="329"/>
      <c r="I169" s="329"/>
      <c r="J169" s="327"/>
      <c r="K169" s="328"/>
      <c r="L169" s="322">
        <f>SUM(B169:I169)</f>
        <v>0</v>
      </c>
      <c r="M169" s="327"/>
      <c r="N169" s="327"/>
      <c r="O169" s="327"/>
      <c r="P169" s="330"/>
      <c r="Q169" s="331"/>
      <c r="R169" s="332"/>
      <c r="S169" s="333">
        <f t="shared" si="33"/>
        <v>0</v>
      </c>
    </row>
    <row r="170" spans="1:19" ht="15" hidden="1" customHeight="1" thickBot="1" x14ac:dyDescent="0.25">
      <c r="A170" s="317" t="s">
        <v>142</v>
      </c>
      <c r="B170" s="334"/>
      <c r="C170" s="335"/>
      <c r="D170" s="321"/>
      <c r="E170" s="323"/>
      <c r="F170" s="321"/>
      <c r="G170" s="323"/>
      <c r="H170" s="321"/>
      <c r="I170" s="321"/>
      <c r="J170" s="323"/>
      <c r="K170" s="335"/>
      <c r="L170" s="322">
        <f>SUM(B170:J170)</f>
        <v>0</v>
      </c>
      <c r="M170" s="323"/>
      <c r="N170" s="323"/>
      <c r="O170" s="323"/>
      <c r="P170" s="323"/>
      <c r="Q170" s="324"/>
      <c r="R170" s="336"/>
      <c r="S170" s="337">
        <f t="shared" si="33"/>
        <v>0</v>
      </c>
    </row>
    <row r="171" spans="1:19" ht="14.1" hidden="1" customHeight="1" thickBot="1" x14ac:dyDescent="0.25">
      <c r="A171" s="338" t="s">
        <v>159</v>
      </c>
      <c r="B171" s="339"/>
      <c r="C171" s="340"/>
      <c r="D171" s="341"/>
      <c r="E171" s="342"/>
      <c r="F171" s="341"/>
      <c r="G171" s="342"/>
      <c r="H171" s="341"/>
      <c r="I171" s="341"/>
      <c r="J171" s="339"/>
      <c r="K171" s="343"/>
      <c r="L171" s="344"/>
      <c r="M171" s="345"/>
      <c r="N171" s="342"/>
      <c r="O171" s="342"/>
      <c r="P171" s="342"/>
      <c r="Q171" s="346"/>
      <c r="R171" s="342"/>
      <c r="S171" s="347">
        <f t="shared" si="33"/>
        <v>0</v>
      </c>
    </row>
    <row r="172" spans="1:19" ht="16.350000000000001" hidden="1" customHeight="1" thickBot="1" x14ac:dyDescent="0.25">
      <c r="A172" s="348" t="s">
        <v>162</v>
      </c>
      <c r="B172" s="339"/>
      <c r="C172" s="343"/>
      <c r="D172" s="339"/>
      <c r="E172" s="339"/>
      <c r="F172" s="339"/>
      <c r="G172" s="339"/>
      <c r="H172" s="339"/>
      <c r="I172" s="339"/>
      <c r="J172" s="339"/>
      <c r="K172" s="339"/>
      <c r="L172" s="349">
        <f>SUM(B172:I172)</f>
        <v>0</v>
      </c>
      <c r="M172" s="339"/>
      <c r="N172" s="339"/>
      <c r="O172" s="339"/>
      <c r="P172" s="339"/>
      <c r="Q172" s="350"/>
      <c r="R172" s="339"/>
      <c r="S172" s="351">
        <f t="shared" si="33"/>
        <v>0</v>
      </c>
    </row>
  </sheetData>
  <mergeCells count="1">
    <mergeCell ref="A1:S1"/>
  </mergeCells>
  <pageMargins left="0.7" right="0.7" top="0.75" bottom="0.75" header="0.3" footer="0.3"/>
  <pageSetup paperSize="8" scale="30" fitToHeight="0" orientation="portrait" r:id="rId1"/>
  <ignoredErrors>
    <ignoredError sqref="L11 D7 G131 E8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80d962-e7e8-4057-9e29-3a9eba61d9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32D826AC481A4D9B6898739020ABF3" ma:contentTypeVersion="10" ma:contentTypeDescription="Create a new document." ma:contentTypeScope="" ma:versionID="c4ff7facc6579af556278e5057015fb1">
  <xsd:schema xmlns:xsd="http://www.w3.org/2001/XMLSchema" xmlns:xs="http://www.w3.org/2001/XMLSchema" xmlns:p="http://schemas.microsoft.com/office/2006/metadata/properties" xmlns:ns3="7380d962-e7e8-4057-9e29-3a9eba61d9c8" xmlns:ns4="67a223ff-65ee-48b8-b7f6-48c1a1c2239b" targetNamespace="http://schemas.microsoft.com/office/2006/metadata/properties" ma:root="true" ma:fieldsID="db795602c01e1294b6d5ef7fe199df62" ns3:_="" ns4:_="">
    <xsd:import namespace="7380d962-e7e8-4057-9e29-3a9eba61d9c8"/>
    <xsd:import namespace="67a223ff-65ee-48b8-b7f6-48c1a1c2239b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0d962-e7e8-4057-9e29-3a9eba61d9c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223ff-65ee-48b8-b7f6-48c1a1c2239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23A0AC-47FB-48FD-B8B1-3A3EB429017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380d962-e7e8-4057-9e29-3a9eba61d9c8"/>
    <ds:schemaRef ds:uri="http://schemas.microsoft.com/office/2006/documentManagement/types"/>
    <ds:schemaRef ds:uri="http://purl.org/dc/elements/1.1/"/>
    <ds:schemaRef ds:uri="http://schemas.microsoft.com/office/2006/metadata/properties"/>
    <ds:schemaRef ds:uri="67a223ff-65ee-48b8-b7f6-48c1a1c2239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DF3FE2-E1A0-4FDC-89DA-BAAD29835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80d962-e7e8-4057-9e29-3a9eba61d9c8"/>
    <ds:schemaRef ds:uri="67a223ff-65ee-48b8-b7f6-48c1a1c22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E2A57D-6373-4230-8F7B-2927AF5B6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úpravy</vt:lpstr>
      <vt:lpstr>súhrnná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Ružena Gogorová</cp:lastModifiedBy>
  <cp:lastPrinted>2023-12-15T12:10:17Z</cp:lastPrinted>
  <dcterms:created xsi:type="dcterms:W3CDTF">2023-01-20T14:21:15Z</dcterms:created>
  <dcterms:modified xsi:type="dcterms:W3CDTF">2024-02-01T10:23:52Z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0x0101004732D826AC481A4D9B6898739020ABF3</vt:lpwstr>
  </property>
</Properties>
</file>